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12" yWindow="396" windowWidth="15348" windowHeight="12036"/>
  </bookViews>
  <sheets>
    <sheet name="по новой классификации (3)" sheetId="7" r:id="rId1"/>
  </sheets>
  <definedNames>
    <definedName name="_xlnm._FilterDatabase" localSheetId="0" hidden="1">'по новой классификации (3)'!$A$25:$S$1476</definedName>
    <definedName name="_xlnm.Print_Titles" localSheetId="0">'по новой классификации (3)'!$25:$25</definedName>
    <definedName name="_xlnm.Print_Area" localSheetId="0">'по новой классификации (3)'!$A$1:$K$1480</definedName>
  </definedNames>
  <calcPr calcId="144525"/>
</workbook>
</file>

<file path=xl/calcChain.xml><?xml version="1.0" encoding="utf-8"?>
<calcChain xmlns="http://schemas.openxmlformats.org/spreadsheetml/2006/main">
  <c r="K625" i="7" l="1"/>
  <c r="K227" i="7"/>
  <c r="K167" i="7"/>
  <c r="K1289" i="7" l="1"/>
  <c r="K1288" i="7"/>
  <c r="K837" i="7" l="1"/>
  <c r="K836" i="7"/>
  <c r="K351" i="7" l="1"/>
  <c r="K333" i="7"/>
  <c r="K102" i="7"/>
  <c r="K103" i="7"/>
  <c r="K189" i="7"/>
  <c r="K188" i="7" s="1"/>
  <c r="K187" i="7" s="1"/>
  <c r="K371" i="7"/>
  <c r="K355" i="7" l="1"/>
  <c r="K677" i="7" l="1"/>
  <c r="K663" i="7"/>
  <c r="K1009" i="7" l="1"/>
  <c r="K1013" i="7"/>
  <c r="K1010" i="7" l="1"/>
  <c r="K1063" i="7"/>
  <c r="K1149" i="7" l="1"/>
  <c r="K1044" i="7"/>
  <c r="K1127" i="7"/>
  <c r="K1113" i="7"/>
  <c r="K1043" i="7"/>
  <c r="K1108" i="7"/>
  <c r="K1274" i="7" l="1"/>
  <c r="K1295" i="7"/>
  <c r="K1294" i="7"/>
  <c r="K1216" i="7"/>
  <c r="K798" i="7"/>
  <c r="K755" i="7"/>
  <c r="K551" i="7"/>
  <c r="K336" i="7"/>
  <c r="K166" i="7"/>
  <c r="K147" i="7"/>
  <c r="K146" i="7" s="1"/>
  <c r="K145" i="7" s="1"/>
  <c r="K144" i="7" s="1"/>
  <c r="K339" i="7" l="1"/>
  <c r="K1164" i="7" l="1"/>
  <c r="K1165" i="7"/>
  <c r="K1060" i="7" l="1"/>
  <c r="K1048" i="7"/>
  <c r="K1001" i="7"/>
  <c r="K1000" i="7" s="1"/>
  <c r="K1006" i="7"/>
  <c r="K1089" i="7"/>
  <c r="K1114" i="7"/>
  <c r="K1094" i="7" l="1"/>
  <c r="K1097" i="7"/>
  <c r="K1096" i="7" s="1"/>
  <c r="K1095" i="7" s="1"/>
  <c r="K1045" i="7" l="1"/>
  <c r="K948" i="7" l="1"/>
  <c r="K947" i="7"/>
  <c r="K920" i="7"/>
  <c r="K921" i="7"/>
  <c r="K885" i="7"/>
  <c r="K873" i="7"/>
  <c r="K764" i="7" l="1"/>
  <c r="K671" i="7" l="1"/>
  <c r="K298" i="7"/>
  <c r="K299" i="7"/>
  <c r="K113" i="7"/>
  <c r="K680" i="7"/>
  <c r="K1205" i="7"/>
  <c r="K1203" i="7"/>
  <c r="K160" i="7"/>
  <c r="K912" i="7" l="1"/>
  <c r="K768" i="7"/>
  <c r="K1438" i="7"/>
  <c r="K1470" i="7"/>
  <c r="K1473" i="7"/>
  <c r="K1467" i="7"/>
  <c r="K1455" i="7"/>
  <c r="K1454" i="7"/>
  <c r="K1449" i="7"/>
  <c r="K1218" i="7"/>
  <c r="K1219" i="7"/>
  <c r="K676" i="7"/>
  <c r="K698" i="7"/>
  <c r="K690" i="7"/>
  <c r="K693" i="7"/>
  <c r="K66" i="7"/>
  <c r="K180" i="7"/>
  <c r="K69" i="7"/>
  <c r="K209" i="7"/>
  <c r="K49" i="7"/>
  <c r="K978" i="7"/>
  <c r="K943" i="7"/>
  <c r="K876" i="7"/>
  <c r="K840" i="7"/>
  <c r="K776" i="7"/>
  <c r="K902" i="7"/>
  <c r="K938" i="7"/>
  <c r="K862" i="7"/>
  <c r="K556" i="7"/>
  <c r="K552" i="7"/>
  <c r="K587" i="7" l="1"/>
  <c r="K613" i="7" l="1"/>
  <c r="K505" i="7"/>
  <c r="K274" i="7"/>
  <c r="K266" i="7"/>
  <c r="K820" i="7" l="1"/>
  <c r="K901" i="7"/>
  <c r="K816" i="7"/>
  <c r="K805" i="7"/>
  <c r="K924" i="7"/>
  <c r="K1423" i="7" l="1"/>
  <c r="K1422" i="7"/>
  <c r="K1403" i="7"/>
  <c r="K100" i="7"/>
  <c r="K97" i="7"/>
  <c r="K699" i="7"/>
  <c r="K1357" i="7" l="1"/>
  <c r="K1364" i="7"/>
  <c r="K1363" i="7"/>
  <c r="K1362" i="7" s="1"/>
  <c r="K112" i="7" l="1"/>
  <c r="K379" i="7"/>
  <c r="K1059" i="7" l="1"/>
  <c r="K712" i="7"/>
  <c r="K484" i="7"/>
  <c r="K491" i="7"/>
  <c r="K490" i="7" s="1"/>
  <c r="K489" i="7" s="1"/>
  <c r="K488" i="7" s="1"/>
  <c r="K487" i="7" s="1"/>
  <c r="K442" i="7"/>
  <c r="K441" i="7" s="1"/>
  <c r="K440" i="7" s="1"/>
  <c r="K439" i="7" s="1"/>
  <c r="K438" i="7" s="1"/>
  <c r="K437" i="7" s="1"/>
  <c r="K571" i="7"/>
  <c r="K811" i="7" l="1"/>
  <c r="K1148" i="7" l="1"/>
  <c r="K1109" i="7"/>
  <c r="K1107" i="7"/>
  <c r="K1106" i="7" s="1"/>
  <c r="K1105" i="7" s="1"/>
  <c r="K1058" i="7"/>
  <c r="K1042" i="7"/>
  <c r="K1008" i="7"/>
  <c r="K1388" i="7" l="1"/>
  <c r="K1150" i="7" l="1"/>
  <c r="K1360" i="7" l="1"/>
  <c r="K1358" i="7"/>
  <c r="K1356" i="7"/>
  <c r="K1354" i="7"/>
  <c r="K1352" i="7"/>
  <c r="K718" i="7" l="1"/>
  <c r="K661" i="7"/>
  <c r="K724" i="7"/>
  <c r="K670" i="7"/>
  <c r="K665" i="7"/>
  <c r="K697" i="7"/>
  <c r="K790" i="7" l="1"/>
  <c r="K598" i="7" l="1"/>
  <c r="K143" i="7" l="1"/>
  <c r="K319" i="7" l="1"/>
  <c r="K320" i="7"/>
  <c r="K1179" i="7" l="1"/>
  <c r="K610" i="7"/>
  <c r="K796" i="7" l="1"/>
  <c r="K511" i="7" l="1"/>
  <c r="K510" i="7" s="1"/>
  <c r="K1397" i="7" l="1"/>
  <c r="K1336" i="7"/>
  <c r="K1346" i="7"/>
  <c r="K1231" i="7"/>
  <c r="K1229" i="7"/>
  <c r="K1230" i="7"/>
  <c r="K1093" i="7"/>
  <c r="K1092" i="7" s="1"/>
  <c r="K1091" i="7" s="1"/>
  <c r="K1090" i="7" s="1"/>
  <c r="K853" i="7"/>
  <c r="K725" i="7"/>
  <c r="K542" i="7"/>
  <c r="K525" i="7"/>
  <c r="K485" i="7"/>
  <c r="K483" i="7" s="1"/>
  <c r="K268" i="7"/>
  <c r="K105" i="7"/>
  <c r="K96" i="7"/>
  <c r="K61" i="7"/>
  <c r="K57" i="7"/>
  <c r="K53" i="7"/>
  <c r="K250" i="7" l="1"/>
  <c r="K1120" i="7" l="1"/>
  <c r="K1119" i="7"/>
  <c r="K1086" i="7"/>
  <c r="K1088" i="7"/>
  <c r="K1084" i="7"/>
  <c r="K1085" i="7" l="1"/>
  <c r="K1332" i="7"/>
  <c r="K1330" i="7"/>
  <c r="K1322" i="7" l="1"/>
  <c r="K1321" i="7" s="1"/>
  <c r="K1320" i="7" s="1"/>
  <c r="K1319" i="7" s="1"/>
  <c r="K1318" i="7" s="1"/>
  <c r="K918" i="7"/>
  <c r="K672" i="7" l="1"/>
  <c r="K674" i="7"/>
  <c r="K276" i="7" l="1"/>
  <c r="K1331" i="7" l="1"/>
  <c r="K524" i="7" l="1"/>
  <c r="K509" i="7"/>
  <c r="K327" i="7" l="1"/>
  <c r="K345" i="7"/>
  <c r="K272" i="7" l="1"/>
  <c r="K459" i="7" l="1"/>
  <c r="K1240" i="7"/>
  <c r="K1202" i="7"/>
  <c r="K586" i="7" l="1"/>
  <c r="K289" i="7"/>
  <c r="K60" i="7"/>
  <c r="K58" i="7" s="1"/>
  <c r="K952" i="7" l="1"/>
  <c r="K951" i="7"/>
  <c r="K858" i="7"/>
  <c r="K122" i="7"/>
  <c r="K91" i="7"/>
  <c r="K950" i="7" l="1"/>
  <c r="K569" i="7"/>
  <c r="K568" i="7" s="1"/>
  <c r="K1056" i="7" l="1"/>
  <c r="K1400" i="7"/>
  <c r="K1102" i="7"/>
  <c r="K1101" i="7" s="1"/>
  <c r="K1100" i="7" s="1"/>
  <c r="K1099" i="7" s="1"/>
  <c r="K1054" i="7"/>
  <c r="K1050" i="7"/>
  <c r="K1166" i="7"/>
  <c r="K1161" i="7"/>
  <c r="K1051" i="7"/>
  <c r="K1003" i="7"/>
  <c r="K714" i="7"/>
  <c r="K711" i="7"/>
  <c r="K458" i="7"/>
  <c r="K221" i="7"/>
  <c r="K338" i="7" l="1"/>
  <c r="K337" i="7" s="1"/>
  <c r="K692" i="7"/>
  <c r="K696" i="7"/>
  <c r="K1290" i="7"/>
  <c r="K1337" i="7" l="1"/>
  <c r="K1211" i="7"/>
  <c r="K941" i="7"/>
  <c r="K814" i="7"/>
  <c r="K590" i="7"/>
  <c r="K589" i="7" s="1"/>
  <c r="K588" i="7" s="1"/>
  <c r="K1204" i="7" l="1"/>
  <c r="K1069" i="7"/>
  <c r="K1067" i="7"/>
  <c r="K1421" i="7" l="1"/>
  <c r="K1420" i="7" s="1"/>
  <c r="K1414" i="7"/>
  <c r="K1312" i="7" l="1"/>
  <c r="K1287" i="7"/>
  <c r="K1246" i="7"/>
  <c r="K897" i="7"/>
  <c r="K703" i="7"/>
  <c r="K560" i="7"/>
  <c r="K1314" i="7" l="1"/>
  <c r="K1293" i="7"/>
  <c r="K1248" i="7" l="1"/>
  <c r="K904" i="7"/>
  <c r="K899" i="7"/>
  <c r="K482" i="7" l="1"/>
  <c r="K1221" i="7"/>
  <c r="K480" i="7"/>
  <c r="K1419" i="7"/>
  <c r="K1418" i="7" s="1"/>
  <c r="K1417" i="7" s="1"/>
  <c r="K1416" i="7" s="1"/>
  <c r="K1415" i="7" s="1"/>
  <c r="K1064" i="7"/>
  <c r="K870" i="7" l="1"/>
  <c r="K800" i="7"/>
  <c r="K318" i="7"/>
  <c r="K1353" i="7" l="1"/>
  <c r="K738" i="7" l="1"/>
  <c r="K737" i="7" s="1"/>
  <c r="K736" i="7" s="1"/>
  <c r="K735" i="7" s="1"/>
  <c r="K734" i="7" s="1"/>
  <c r="K733" i="7" s="1"/>
  <c r="K561" i="7"/>
  <c r="K1053" i="7" l="1"/>
  <c r="K1081" i="7"/>
  <c r="K1079" i="7" s="1"/>
  <c r="K1078" i="7"/>
  <c r="K1076" i="7" s="1"/>
  <c r="K1068" i="7"/>
  <c r="K1066" i="7" s="1"/>
  <c r="K934" i="7"/>
  <c r="K217" i="7"/>
  <c r="K654" i="7" l="1"/>
  <c r="K653" i="7" s="1"/>
  <c r="K652" i="7" s="1"/>
  <c r="K651" i="7" s="1"/>
  <c r="K650" i="7" s="1"/>
  <c r="K476" i="7"/>
  <c r="K270" i="7" l="1"/>
  <c r="K754" i="7" l="1"/>
  <c r="K1306" i="7"/>
  <c r="K279" i="7" l="1"/>
  <c r="K278" i="7" l="1"/>
  <c r="K277" i="7" s="1"/>
  <c r="K174" i="7"/>
  <c r="K198" i="7" l="1"/>
  <c r="K818" i="7" l="1"/>
  <c r="K312" i="7"/>
  <c r="K177" i="7" l="1"/>
  <c r="K540" i="7" l="1"/>
  <c r="K1259" i="7"/>
  <c r="K813" i="7"/>
  <c r="K523" i="7"/>
  <c r="K508" i="7"/>
  <c r="K507" i="7"/>
  <c r="K522" i="7" l="1"/>
  <c r="K521" i="7" s="1"/>
  <c r="K520" i="7" s="1"/>
  <c r="K519" i="7" s="1"/>
  <c r="K220" i="7"/>
  <c r="K218" i="7"/>
  <c r="K215" i="7"/>
  <c r="K231" i="7"/>
  <c r="K230" i="7" s="1"/>
  <c r="K229" i="7" s="1"/>
  <c r="K228" i="7" s="1"/>
  <c r="K1335" i="7"/>
  <c r="K179" i="7" l="1"/>
  <c r="K176" i="7" l="1"/>
  <c r="K175" i="7" s="1"/>
  <c r="K291" i="7"/>
  <c r="K165" i="7"/>
  <c r="K832" i="7"/>
  <c r="K1345" i="7" l="1"/>
  <c r="K1344" i="7" s="1"/>
  <c r="K1343" i="7" s="1"/>
  <c r="K1387" i="7" l="1"/>
  <c r="K1215" i="7"/>
  <c r="K821" i="7"/>
  <c r="K795" i="7"/>
  <c r="K713" i="7"/>
  <c r="K710" i="7" s="1"/>
  <c r="K475" i="7"/>
  <c r="K534" i="7"/>
  <c r="K275" i="7"/>
  <c r="K356" i="7"/>
  <c r="K354" i="7" s="1"/>
  <c r="K108" i="7"/>
  <c r="K107" i="7" s="1"/>
  <c r="K197" i="7"/>
  <c r="K195" i="7" s="1"/>
  <c r="K666" i="7"/>
  <c r="K664" i="7"/>
  <c r="K662" i="7"/>
  <c r="K660" i="7"/>
  <c r="K723" i="7"/>
  <c r="K722" i="7" s="1"/>
  <c r="K721" i="7" s="1"/>
  <c r="K717" i="7"/>
  <c r="K685" i="7"/>
  <c r="K284" i="7"/>
  <c r="K286" i="7"/>
  <c r="K957" i="7" l="1"/>
  <c r="K956" i="7" s="1"/>
  <c r="K622" i="7"/>
  <c r="K611" i="7"/>
  <c r="K609" i="7" s="1"/>
  <c r="K271" i="7"/>
  <c r="K269" i="7"/>
  <c r="K216" i="7" l="1"/>
  <c r="K452" i="7"/>
  <c r="K238" i="7" l="1"/>
  <c r="K54" i="7"/>
  <c r="K290" i="7"/>
  <c r="K138" i="7"/>
  <c r="K137" i="7" s="1"/>
  <c r="K136" i="7" s="1"/>
  <c r="K135" i="7" s="1"/>
  <c r="K134" i="7" s="1"/>
  <c r="K239" i="7"/>
  <c r="K265" i="7"/>
  <c r="K237" i="7" l="1"/>
  <c r="K236" i="7" s="1"/>
  <c r="K235" i="7" s="1"/>
  <c r="K234" i="7" s="1"/>
  <c r="K233" i="7" s="1"/>
  <c r="K1441" i="7"/>
  <c r="K288" i="7"/>
  <c r="K283" i="7" s="1"/>
  <c r="K282" i="7" l="1"/>
  <c r="K281" i="7" s="1"/>
  <c r="K280" i="7" s="1"/>
  <c r="K1351" i="7"/>
  <c r="K1350" i="7" s="1"/>
  <c r="K1349" i="7" s="1"/>
  <c r="K1135" i="7"/>
  <c r="K1112" i="7"/>
  <c r="K1169" i="7"/>
  <c r="K1168" i="7" s="1"/>
  <c r="K1061" i="7"/>
  <c r="K1130" i="7"/>
  <c r="K1024" i="7"/>
  <c r="K953" i="7" l="1"/>
  <c r="K949" i="7" s="1"/>
  <c r="K960" i="7" l="1"/>
  <c r="K959" i="7" s="1"/>
  <c r="K1224" i="7" l="1"/>
  <c r="K829" i="7" l="1"/>
  <c r="K828" i="7" l="1"/>
  <c r="K847" i="7" l="1"/>
  <c r="K809" i="7"/>
  <c r="K775" i="7" l="1"/>
  <c r="K774" i="7" s="1"/>
  <c r="K496" i="7" l="1"/>
  <c r="K495" i="7" s="1"/>
  <c r="K497" i="7"/>
  <c r="K1372" i="7"/>
  <c r="K494" i="7" l="1"/>
  <c r="K493" i="7" s="1"/>
  <c r="K492" i="7" s="1"/>
  <c r="K486" i="7" s="1"/>
  <c r="K845" i="7"/>
  <c r="K844" i="7" s="1"/>
  <c r="K669" i="7"/>
  <c r="K659" i="7" s="1"/>
  <c r="K607" i="7"/>
  <c r="K606" i="7"/>
  <c r="K1313" i="7" l="1"/>
  <c r="K577" i="7"/>
  <c r="K466" i="7"/>
  <c r="K807" i="7" l="1"/>
  <c r="K766" i="7" l="1"/>
  <c r="K306" i="7" l="1"/>
  <c r="K305" i="7" s="1"/>
  <c r="K304" i="7" s="1"/>
  <c r="K303" i="7" s="1"/>
  <c r="K273" i="7" l="1"/>
  <c r="K267" i="7"/>
  <c r="K214" i="7"/>
  <c r="K213" i="7" s="1"/>
  <c r="K264" i="7" l="1"/>
  <c r="K212" i="7"/>
  <c r="K211" i="7" s="1"/>
  <c r="K210" i="7" s="1"/>
  <c r="K702" i="7"/>
  <c r="K701" i="7" s="1"/>
  <c r="K1072" i="7"/>
  <c r="K1083" i="7" l="1"/>
  <c r="K1082" i="7" s="1"/>
  <c r="K1074" i="7"/>
  <c r="K533" i="7"/>
  <c r="K451" i="7"/>
  <c r="K1371" i="7"/>
  <c r="K1370" i="7" s="1"/>
  <c r="K1369" i="7" s="1"/>
  <c r="K1368" i="7" s="1"/>
  <c r="K1367" i="7" s="1"/>
  <c r="K1366" i="7" s="1"/>
  <c r="K608" i="7" l="1"/>
  <c r="K605" i="7" s="1"/>
  <c r="K678" i="7" l="1"/>
  <c r="K679" i="7"/>
  <c r="K1158" i="7" l="1"/>
  <c r="K1157" i="7" l="1"/>
  <c r="K1049" i="7"/>
  <c r="K1041" i="7" l="1"/>
  <c r="K99" i="7" l="1"/>
  <c r="K531" i="7" l="1"/>
  <c r="K530" i="7" l="1"/>
  <c r="K529" i="7" s="1"/>
  <c r="K528" i="7" s="1"/>
  <c r="K527" i="7" s="1"/>
  <c r="K658" i="7" l="1"/>
  <c r="K657" i="7" s="1"/>
  <c r="K656" i="7" s="1"/>
  <c r="K1134" i="7" l="1"/>
  <c r="K1133" i="7" s="1"/>
  <c r="K1132" i="7" s="1"/>
  <c r="K1131" i="7" s="1"/>
  <c r="K1111" i="7"/>
  <c r="K1110" i="7" s="1"/>
  <c r="K1104" i="7" s="1"/>
  <c r="K1348" i="7" l="1"/>
  <c r="K1347" i="7" s="1"/>
  <c r="K1440" i="7"/>
  <c r="K969" i="7" l="1"/>
  <c r="K968" i="7" s="1"/>
  <c r="K967" i="7" s="1"/>
  <c r="K1254" i="7"/>
  <c r="K1029" i="7" l="1"/>
  <c r="K90" i="7"/>
  <c r="K89" i="7" s="1"/>
  <c r="K88" i="7" s="1"/>
  <c r="K87" i="7" s="1"/>
  <c r="K245" i="7"/>
  <c r="K719" i="7"/>
  <c r="K716" i="7" l="1"/>
  <c r="K715" i="7" s="1"/>
  <c r="K707" i="7"/>
  <c r="K879" i="7"/>
  <c r="K878" i="7" s="1"/>
  <c r="K877" i="7" s="1"/>
  <c r="K945" i="7"/>
  <c r="K1014" i="7"/>
  <c r="K1012" i="7"/>
  <c r="K1007" i="7" s="1"/>
  <c r="K1167" i="7"/>
  <c r="K1156" i="7"/>
  <c r="K1129" i="7"/>
  <c r="K1128" i="7" s="1"/>
  <c r="K1052" i="7"/>
  <c r="K1005" i="7"/>
  <c r="K1004" i="7" s="1"/>
  <c r="K1163" i="7"/>
  <c r="K1162" i="7" s="1"/>
  <c r="K1154" i="7"/>
  <c r="K1047" i="7"/>
  <c r="K1160" i="7"/>
  <c r="K1002" i="7"/>
  <c r="K999" i="7" s="1"/>
  <c r="K1075" i="7" l="1"/>
  <c r="K1046" i="7"/>
  <c r="K1153" i="7"/>
  <c r="K747" i="7"/>
  <c r="K1187" i="7"/>
  <c r="K1333" i="7" l="1"/>
  <c r="K1201" i="7"/>
  <c r="K1247" i="7"/>
  <c r="K1040" i="7"/>
  <c r="K1126" i="7"/>
  <c r="K1125" i="7" s="1"/>
  <c r="K1124" i="7" l="1"/>
  <c r="K1123" i="7" s="1"/>
  <c r="K1122" i="7" s="1"/>
  <c r="K900" i="7"/>
  <c r="K695" i="7" l="1"/>
  <c r="K619" i="7" l="1"/>
  <c r="K550" i="7"/>
  <c r="K449" i="7"/>
  <c r="K448" i="7" l="1"/>
  <c r="K447" i="7" s="1"/>
  <c r="K226" i="7"/>
  <c r="K225" i="7" s="1"/>
  <c r="K224" i="7" s="1"/>
  <c r="K223" i="7" s="1"/>
  <c r="K222" i="7" s="1"/>
  <c r="K101" i="7" l="1"/>
  <c r="K1413" i="7" l="1"/>
  <c r="K1412" i="7" s="1"/>
  <c r="K1411" i="7" s="1"/>
  <c r="K1410" i="7" s="1"/>
  <c r="K1409" i="7" s="1"/>
  <c r="K1408" i="7" s="1"/>
  <c r="K1073" i="7"/>
  <c r="K1071" i="7"/>
  <c r="K1028" i="7"/>
  <c r="K1027" i="7" s="1"/>
  <c r="K1026" i="7" s="1"/>
  <c r="K1025" i="7" s="1"/>
  <c r="K1118" i="7"/>
  <c r="K992" i="7"/>
  <c r="K991" i="7" s="1"/>
  <c r="K1117" i="7" l="1"/>
  <c r="K1116" i="7" s="1"/>
  <c r="K1115" i="7" s="1"/>
  <c r="K1057" i="7"/>
  <c r="K646" i="7"/>
  <c r="K477" i="7"/>
  <c r="K481" i="7"/>
  <c r="K479" i="7"/>
  <c r="K173" i="7"/>
  <c r="K172" i="7" s="1"/>
  <c r="K171" i="7" s="1"/>
  <c r="K170" i="7" s="1"/>
  <c r="K169" i="7" s="1"/>
  <c r="K63" i="7"/>
  <c r="K1039" i="7" l="1"/>
  <c r="K1038" i="7" s="1"/>
  <c r="K1037" i="7" s="1"/>
  <c r="K474" i="7"/>
  <c r="K473" i="7" s="1"/>
  <c r="K472" i="7" s="1"/>
  <c r="K471" i="7" s="1"/>
  <c r="K470" i="7" s="1"/>
  <c r="K761" i="7" l="1"/>
  <c r="K867" i="7" l="1"/>
  <c r="K852" i="7" l="1"/>
  <c r="K851" i="7" s="1"/>
  <c r="K850" i="7" s="1"/>
  <c r="K849" i="7" s="1"/>
  <c r="K780" i="7"/>
  <c r="K779" i="7" s="1"/>
  <c r="K778" i="7" s="1"/>
  <c r="K777" i="7" s="1"/>
  <c r="K770" i="7" l="1"/>
  <c r="K350" i="7"/>
  <c r="K349" i="7" s="1"/>
  <c r="K348" i="7" s="1"/>
  <c r="K347" i="7" s="1"/>
  <c r="K35" i="7" l="1"/>
  <c r="K907" i="7" l="1"/>
  <c r="K1019" i="7" l="1"/>
  <c r="K1018" i="7" s="1"/>
  <c r="K1017" i="7" s="1"/>
  <c r="K118" i="7" l="1"/>
  <c r="K117" i="7" s="1"/>
  <c r="K116" i="7" s="1"/>
  <c r="K126" i="7" l="1"/>
  <c r="K919" i="7" l="1"/>
  <c r="K541" i="7"/>
  <c r="K937" i="7" l="1"/>
  <c r="K132" i="7" l="1"/>
  <c r="K131" i="7" s="1"/>
  <c r="K130" i="7" s="1"/>
  <c r="K129" i="7" s="1"/>
  <c r="K335" i="7"/>
  <c r="K334" i="7" s="1"/>
  <c r="K944" i="7" l="1"/>
  <c r="K1235" i="7" l="1"/>
  <c r="K1234" i="7" s="1"/>
  <c r="K1233" i="7" s="1"/>
  <c r="K317" i="7" l="1"/>
  <c r="K316" i="7" s="1"/>
  <c r="K315" i="7" s="1"/>
  <c r="K314" i="7" s="1"/>
  <c r="K313" i="7" s="1"/>
  <c r="K915" i="7" l="1"/>
  <c r="K914" i="7" s="1"/>
  <c r="K756" i="7" l="1"/>
  <c r="K152" i="7" l="1"/>
  <c r="K504" i="7" l="1"/>
  <c r="K244" i="7" l="1"/>
  <c r="K243" i="7" s="1"/>
  <c r="K242" i="7" s="1"/>
  <c r="K241" i="7" s="1"/>
  <c r="K997" i="7" l="1"/>
  <c r="K1296" i="7" l="1"/>
  <c r="K869" i="7"/>
  <c r="K866" i="7" s="1"/>
  <c r="K799" i="7"/>
  <c r="K758" i="7"/>
  <c r="K1406" i="7" l="1"/>
  <c r="K1405" i="7" s="1"/>
  <c r="K156" i="7" l="1"/>
  <c r="K1402" i="7" l="1"/>
  <c r="K1266" i="7"/>
  <c r="K1265" i="7" s="1"/>
  <c r="K1264" i="7" s="1"/>
  <c r="K1263" i="7" s="1"/>
  <c r="K1262" i="7" s="1"/>
  <c r="K151" i="7"/>
  <c r="K85" i="7" l="1"/>
  <c r="K84" i="7" s="1"/>
  <c r="K83" i="7" s="1"/>
  <c r="K82" i="7" s="1"/>
  <c r="K797" i="7" l="1"/>
  <c r="K773" i="7" l="1"/>
  <c r="K965" i="7" l="1"/>
  <c r="K964" i="7" s="1"/>
  <c r="K963" i="7" s="1"/>
  <c r="K962" i="7" s="1"/>
  <c r="K1174" i="7"/>
  <c r="K1173" i="7" s="1"/>
  <c r="K1172" i="7" s="1"/>
  <c r="K1301" i="7"/>
  <c r="K1300" i="7" s="1"/>
  <c r="K1299" i="7" s="1"/>
  <c r="K539" i="7" l="1"/>
  <c r="K538" i="7" s="1"/>
  <c r="K537" i="7" l="1"/>
  <c r="K536" i="7" s="1"/>
  <c r="K535" i="7" s="1"/>
  <c r="K518" i="7" s="1"/>
  <c r="K580" i="7" l="1"/>
  <c r="K579" i="7" s="1"/>
  <c r="K164" i="7" l="1"/>
  <c r="K1472" i="7" l="1"/>
  <c r="K1469" i="7"/>
  <c r="K1466" i="7"/>
  <c r="K1460" i="7"/>
  <c r="K1458" i="7"/>
  <c r="K1456" i="7"/>
  <c r="K1453" i="7"/>
  <c r="K1450" i="7"/>
  <c r="K1447" i="7"/>
  <c r="K1437" i="7"/>
  <c r="K1436" i="7" s="1"/>
  <c r="K1429" i="7"/>
  <c r="K1428" i="7" s="1"/>
  <c r="K1427" i="7" s="1"/>
  <c r="K1426" i="7" s="1"/>
  <c r="K1425" i="7" s="1"/>
  <c r="K1424" i="7" s="1"/>
  <c r="K1401" i="7"/>
  <c r="K1399" i="7"/>
  <c r="K1398" i="7" s="1"/>
  <c r="K1396" i="7"/>
  <c r="K1395" i="7" s="1"/>
  <c r="K1393" i="7"/>
  <c r="K1391" i="7"/>
  <c r="K1386" i="7"/>
  <c r="K1378" i="7"/>
  <c r="K1377" i="7" s="1"/>
  <c r="K1376" i="7" s="1"/>
  <c r="K1375" i="7" s="1"/>
  <c r="K1374" i="7" s="1"/>
  <c r="K1373" i="7" s="1"/>
  <c r="K1341" i="7"/>
  <c r="K1339" i="7"/>
  <c r="K1329" i="7"/>
  <c r="K1315" i="7"/>
  <c r="K1311" i="7"/>
  <c r="K1305" i="7"/>
  <c r="K1304" i="7" s="1"/>
  <c r="K1303" i="7" s="1"/>
  <c r="K1298" i="7" s="1"/>
  <c r="K1292" i="7"/>
  <c r="K1286" i="7"/>
  <c r="K1285" i="7" s="1"/>
  <c r="K1280" i="7"/>
  <c r="K1279" i="7" s="1"/>
  <c r="K1278" i="7" s="1"/>
  <c r="K1277" i="7" s="1"/>
  <c r="K1276" i="7" s="1"/>
  <c r="K1273" i="7"/>
  <c r="K1272" i="7" s="1"/>
  <c r="K1271" i="7" s="1"/>
  <c r="K1270" i="7" s="1"/>
  <c r="K1269" i="7" s="1"/>
  <c r="K1268" i="7" s="1"/>
  <c r="K1258" i="7"/>
  <c r="K1257" i="7" s="1"/>
  <c r="K1256" i="7" s="1"/>
  <c r="K1249" i="7"/>
  <c r="K1245" i="7"/>
  <c r="K1239" i="7"/>
  <c r="K1238" i="7" s="1"/>
  <c r="K1237" i="7" s="1"/>
  <c r="K1232" i="7" s="1"/>
  <c r="K1227" i="7"/>
  <c r="K1226" i="7" s="1"/>
  <c r="K1225" i="7" s="1"/>
  <c r="K1223" i="7"/>
  <c r="K1217" i="7"/>
  <c r="K1206" i="7"/>
  <c r="K1194" i="7"/>
  <c r="K1193" i="7" s="1"/>
  <c r="K1192" i="7" s="1"/>
  <c r="K1191" i="7" s="1"/>
  <c r="K1190" i="7" s="1"/>
  <c r="K1189" i="7" s="1"/>
  <c r="K1186" i="7"/>
  <c r="K1185" i="7" s="1"/>
  <c r="K1184" i="7" s="1"/>
  <c r="K1183" i="7" s="1"/>
  <c r="K1182" i="7" s="1"/>
  <c r="K1181" i="7" s="1"/>
  <c r="K1178" i="7"/>
  <c r="K1177" i="7" s="1"/>
  <c r="K1176" i="7" s="1"/>
  <c r="K1171" i="7" s="1"/>
  <c r="K1151" i="7"/>
  <c r="K1147" i="7"/>
  <c r="K1144" i="7"/>
  <c r="K1140" i="7"/>
  <c r="K1034" i="7"/>
  <c r="K1033" i="7" s="1"/>
  <c r="K1032" i="7" s="1"/>
  <c r="K1031" i="7" s="1"/>
  <c r="K1030" i="7" s="1"/>
  <c r="K1023" i="7"/>
  <c r="K1022" i="7" s="1"/>
  <c r="K1021" i="7" s="1"/>
  <c r="K1016" i="7" s="1"/>
  <c r="K995" i="7"/>
  <c r="K985" i="7"/>
  <c r="K984" i="7" s="1"/>
  <c r="K983" i="7" s="1"/>
  <c r="K982" i="7" s="1"/>
  <c r="K981" i="7" s="1"/>
  <c r="K980" i="7" s="1"/>
  <c r="K976" i="7"/>
  <c r="K975" i="7" s="1"/>
  <c r="K974" i="7" s="1"/>
  <c r="K973" i="7" s="1"/>
  <c r="K972" i="7" s="1"/>
  <c r="K971" i="7" s="1"/>
  <c r="K927" i="7"/>
  <c r="K925" i="7"/>
  <c r="K923" i="7"/>
  <c r="K911" i="7"/>
  <c r="K909" i="7"/>
  <c r="K905" i="7"/>
  <c r="K896" i="7"/>
  <c r="K942" i="7"/>
  <c r="K939" i="7"/>
  <c r="K932" i="7"/>
  <c r="K930" i="7"/>
  <c r="K890" i="7"/>
  <c r="K889" i="7" s="1"/>
  <c r="K888" i="7" s="1"/>
  <c r="K887" i="7" s="1"/>
  <c r="K886" i="7" s="1"/>
  <c r="K884" i="7"/>
  <c r="K883" i="7" s="1"/>
  <c r="K882" i="7" s="1"/>
  <c r="K881" i="7" s="1"/>
  <c r="K872" i="7"/>
  <c r="K871" i="7" s="1"/>
  <c r="K875" i="7"/>
  <c r="K874" i="7" s="1"/>
  <c r="K861" i="7"/>
  <c r="K860" i="7" s="1"/>
  <c r="K859" i="7" s="1"/>
  <c r="K857" i="7"/>
  <c r="K856" i="7" s="1"/>
  <c r="K855" i="7" s="1"/>
  <c r="K842" i="7"/>
  <c r="K841" i="7" s="1"/>
  <c r="K831" i="7"/>
  <c r="K827" i="7"/>
  <c r="K825" i="7"/>
  <c r="K823" i="7"/>
  <c r="K819" i="7"/>
  <c r="K817" i="7"/>
  <c r="K815" i="7"/>
  <c r="K810" i="7"/>
  <c r="K808" i="7"/>
  <c r="K806" i="7"/>
  <c r="K804" i="7"/>
  <c r="K839" i="7"/>
  <c r="K838" i="7" s="1"/>
  <c r="K834" i="7"/>
  <c r="K833" i="7" s="1"/>
  <c r="K801" i="7"/>
  <c r="K794" i="7" s="1"/>
  <c r="K789" i="7"/>
  <c r="K788" i="7" s="1"/>
  <c r="K787" i="7" s="1"/>
  <c r="K785" i="7"/>
  <c r="K784" i="7" s="1"/>
  <c r="K783" i="7" s="1"/>
  <c r="K772" i="7"/>
  <c r="K769" i="7" s="1"/>
  <c r="K767" i="7"/>
  <c r="K765" i="7"/>
  <c r="K763" i="7"/>
  <c r="K760" i="7"/>
  <c r="K753" i="7" s="1"/>
  <c r="K746" i="7"/>
  <c r="K745" i="7" s="1"/>
  <c r="K744" i="7" s="1"/>
  <c r="K743" i="7" s="1"/>
  <c r="K742" i="7" s="1"/>
  <c r="K741" i="7" s="1"/>
  <c r="K731" i="7"/>
  <c r="K730" i="7" s="1"/>
  <c r="K729" i="7" s="1"/>
  <c r="K728" i="7" s="1"/>
  <c r="K727" i="7" s="1"/>
  <c r="K726" i="7" s="1"/>
  <c r="K709" i="7"/>
  <c r="K705" i="7"/>
  <c r="K689" i="7"/>
  <c r="K687" i="7"/>
  <c r="K643" i="7"/>
  <c r="K636" i="7"/>
  <c r="K635" i="7" s="1"/>
  <c r="K634" i="7" s="1"/>
  <c r="K633" i="7" s="1"/>
  <c r="K632" i="7" s="1"/>
  <c r="K631" i="7" s="1"/>
  <c r="K629" i="7"/>
  <c r="K628" i="7" s="1"/>
  <c r="K624" i="7"/>
  <c r="K623" i="7" s="1"/>
  <c r="K621" i="7"/>
  <c r="K617" i="7"/>
  <c r="K614" i="7"/>
  <c r="K597" i="7"/>
  <c r="K596" i="7" s="1"/>
  <c r="K595" i="7" s="1"/>
  <c r="K594" i="7" s="1"/>
  <c r="K593" i="7" s="1"/>
  <c r="K592" i="7" s="1"/>
  <c r="K584" i="7"/>
  <c r="K583" i="7" s="1"/>
  <c r="K575" i="7"/>
  <c r="K574" i="7" s="1"/>
  <c r="K566" i="7"/>
  <c r="K564" i="7"/>
  <c r="K562" i="7"/>
  <c r="K558" i="7"/>
  <c r="K555" i="7"/>
  <c r="K553" i="7"/>
  <c r="K549" i="7"/>
  <c r="K516" i="7"/>
  <c r="K515" i="7" s="1"/>
  <c r="K514" i="7" s="1"/>
  <c r="K513" i="7" s="1"/>
  <c r="K512" i="7" s="1"/>
  <c r="K506" i="7"/>
  <c r="K503" i="7" s="1"/>
  <c r="K468" i="7"/>
  <c r="K464" i="7"/>
  <c r="K461" i="7"/>
  <c r="K457" i="7"/>
  <c r="K434" i="7"/>
  <c r="K433" i="7" s="1"/>
  <c r="K432" i="7" s="1"/>
  <c r="K431" i="7" s="1"/>
  <c r="K430" i="7" s="1"/>
  <c r="K429" i="7" s="1"/>
  <c r="K427" i="7"/>
  <c r="K426" i="7" s="1"/>
  <c r="K425" i="7" s="1"/>
  <c r="K424" i="7" s="1"/>
  <c r="K423" i="7" s="1"/>
  <c r="K422" i="7" s="1"/>
  <c r="K420" i="7"/>
  <c r="K419" i="7" s="1"/>
  <c r="K418" i="7" s="1"/>
  <c r="K417" i="7" s="1"/>
  <c r="K416" i="7" s="1"/>
  <c r="K412" i="7"/>
  <c r="K411" i="7" s="1"/>
  <c r="K408" i="7"/>
  <c r="K407" i="7" s="1"/>
  <c r="K406" i="7" s="1"/>
  <c r="K405" i="7" s="1"/>
  <c r="K400" i="7"/>
  <c r="K399" i="7" s="1"/>
  <c r="K398" i="7" s="1"/>
  <c r="K397" i="7" s="1"/>
  <c r="K396" i="7" s="1"/>
  <c r="K395" i="7" s="1"/>
  <c r="K392" i="7"/>
  <c r="K391" i="7" s="1"/>
  <c r="K390" i="7" s="1"/>
  <c r="K389" i="7" s="1"/>
  <c r="K388" i="7" s="1"/>
  <c r="K387" i="7" s="1"/>
  <c r="K385" i="7"/>
  <c r="K384" i="7" s="1"/>
  <c r="K383" i="7" s="1"/>
  <c r="K382" i="7" s="1"/>
  <c r="K381" i="7" s="1"/>
  <c r="K380" i="7" s="1"/>
  <c r="K378" i="7"/>
  <c r="K376" i="7"/>
  <c r="K370" i="7"/>
  <c r="K363" i="7"/>
  <c r="K362" i="7" s="1"/>
  <c r="K361" i="7" s="1"/>
  <c r="K360" i="7" s="1"/>
  <c r="K353" i="7"/>
  <c r="K352" i="7" s="1"/>
  <c r="K346" i="7" s="1"/>
  <c r="K344" i="7"/>
  <c r="K343" i="7" s="1"/>
  <c r="K342" i="7" s="1"/>
  <c r="K341" i="7" s="1"/>
  <c r="K340" i="7" s="1"/>
  <c r="K332" i="7"/>
  <c r="K331" i="7" s="1"/>
  <c r="K326" i="7"/>
  <c r="K325" i="7"/>
  <c r="K324" i="7" s="1"/>
  <c r="K323" i="7" s="1"/>
  <c r="K322" i="7" s="1"/>
  <c r="K311" i="7"/>
  <c r="K310" i="7" s="1"/>
  <c r="K309" i="7" s="1"/>
  <c r="K308" i="7" s="1"/>
  <c r="K297" i="7"/>
  <c r="K258" i="7"/>
  <c r="K257" i="7" s="1"/>
  <c r="K256" i="7" s="1"/>
  <c r="K254" i="7"/>
  <c r="K253" i="7" s="1"/>
  <c r="K252" i="7" s="1"/>
  <c r="K249" i="7"/>
  <c r="K248" i="7" s="1"/>
  <c r="K247" i="7" s="1"/>
  <c r="K246" i="7" s="1"/>
  <c r="K208" i="7"/>
  <c r="K206" i="7"/>
  <c r="K204" i="7"/>
  <c r="K203" i="7" s="1"/>
  <c r="K194" i="7"/>
  <c r="K193" i="7" s="1"/>
  <c r="K192" i="7" s="1"/>
  <c r="K191" i="7" s="1"/>
  <c r="K186" i="7" s="1"/>
  <c r="K184" i="7"/>
  <c r="K183" i="7" s="1"/>
  <c r="K182" i="7" s="1"/>
  <c r="K181" i="7" s="1"/>
  <c r="K168" i="7" s="1"/>
  <c r="K159" i="7"/>
  <c r="K158" i="7" s="1"/>
  <c r="K142" i="7"/>
  <c r="K141" i="7" s="1"/>
  <c r="K140" i="7" s="1"/>
  <c r="K139" i="7" s="1"/>
  <c r="K125" i="7"/>
  <c r="K124" i="7" s="1"/>
  <c r="K121" i="7"/>
  <c r="K120" i="7" s="1"/>
  <c r="K111" i="7"/>
  <c r="K109" i="7"/>
  <c r="K95" i="7"/>
  <c r="K94" i="7" s="1"/>
  <c r="K79" i="7"/>
  <c r="K78" i="7" s="1"/>
  <c r="K77" i="7" s="1"/>
  <c r="K76" i="7" s="1"/>
  <c r="K74" i="7"/>
  <c r="K73" i="7" s="1"/>
  <c r="K72" i="7" s="1"/>
  <c r="K71" i="7" s="1"/>
  <c r="K68" i="7"/>
  <c r="K65" i="7"/>
  <c r="K52" i="7"/>
  <c r="K51" i="7" s="1"/>
  <c r="K48" i="7"/>
  <c r="K47" i="7" s="1"/>
  <c r="K46" i="7" s="1"/>
  <c r="K45" i="7" s="1"/>
  <c r="K42" i="7"/>
  <c r="K41" i="7" s="1"/>
  <c r="K40" i="7" s="1"/>
  <c r="K39" i="7" s="1"/>
  <c r="K32" i="7"/>
  <c r="K155" i="7" l="1"/>
  <c r="K150" i="7" s="1"/>
  <c r="K149" i="7" s="1"/>
  <c r="K106" i="7"/>
  <c r="K296" i="7"/>
  <c r="K295" i="7" s="1"/>
  <c r="K294" i="7" s="1"/>
  <c r="K293" i="7" s="1"/>
  <c r="K292" i="7" s="1"/>
  <c r="K263" i="7" s="1"/>
  <c r="K262" i="7" s="1"/>
  <c r="K1200" i="7"/>
  <c r="K1199" i="7" s="1"/>
  <c r="K1198" i="7" s="1"/>
  <c r="K1197" i="7" s="1"/>
  <c r="K557" i="7"/>
  <c r="K1328" i="7"/>
  <c r="K1327" i="7" s="1"/>
  <c r="K1326" i="7" s="1"/>
  <c r="K684" i="7"/>
  <c r="K261" i="7"/>
  <c r="K260" i="7" s="1"/>
  <c r="K812" i="7"/>
  <c r="K1385" i="7"/>
  <c r="K1384" i="7" s="1"/>
  <c r="K1383" i="7" s="1"/>
  <c r="K93" i="7"/>
  <c r="K92" i="7" s="1"/>
  <c r="K548" i="7"/>
  <c r="K1284" i="7"/>
  <c r="K1283" i="7" s="1"/>
  <c r="K700" i="7"/>
  <c r="K865" i="7"/>
  <c r="K1435" i="7"/>
  <c r="K369" i="7"/>
  <c r="K368" i="7" s="1"/>
  <c r="K1146" i="7"/>
  <c r="K604" i="7"/>
  <c r="K642" i="7"/>
  <c r="K641" i="7" s="1"/>
  <c r="K640" i="7" s="1"/>
  <c r="K639" i="7" s="1"/>
  <c r="K638" i="7" s="1"/>
  <c r="K62" i="7"/>
  <c r="K31" i="7"/>
  <c r="K30" i="7" s="1"/>
  <c r="K29" i="7" s="1"/>
  <c r="K28" i="7" s="1"/>
  <c r="K27" i="7" s="1"/>
  <c r="K115" i="7"/>
  <c r="K936" i="7"/>
  <c r="K330" i="7"/>
  <c r="K329" i="7" s="1"/>
  <c r="K328" i="7" s="1"/>
  <c r="K994" i="7"/>
  <c r="K990" i="7" s="1"/>
  <c r="K989" i="7" s="1"/>
  <c r="K988" i="7" s="1"/>
  <c r="K302" i="7"/>
  <c r="K301" i="7" s="1"/>
  <c r="K929" i="7"/>
  <c r="K1446" i="7"/>
  <c r="K1445" i="7" s="1"/>
  <c r="K1444" i="7" s="1"/>
  <c r="K1443" i="7" s="1"/>
  <c r="K1465" i="7"/>
  <c r="K1464" i="7" s="1"/>
  <c r="K1463" i="7" s="1"/>
  <c r="K1462" i="7" s="1"/>
  <c r="K456" i="7"/>
  <c r="K573" i="7"/>
  <c r="K1244" i="7"/>
  <c r="K1243" i="7" s="1"/>
  <c r="K1242" i="7" s="1"/>
  <c r="K1310" i="7"/>
  <c r="K1309" i="7" s="1"/>
  <c r="K1308" i="7" s="1"/>
  <c r="K1307" i="7" s="1"/>
  <c r="K202" i="7"/>
  <c r="K201" i="7" s="1"/>
  <c r="K200" i="7" s="1"/>
  <c r="K463" i="7"/>
  <c r="K582" i="7"/>
  <c r="K895" i="7"/>
  <c r="K922" i="7"/>
  <c r="K375" i="7"/>
  <c r="K374" i="7" s="1"/>
  <c r="K373" i="7" s="1"/>
  <c r="K372" i="7" s="1"/>
  <c r="K782" i="7"/>
  <c r="K854" i="7"/>
  <c r="K616" i="7"/>
  <c r="K251" i="7"/>
  <c r="K240" i="7" s="1"/>
  <c r="K410" i="7"/>
  <c r="K404" i="7" s="1"/>
  <c r="K403" i="7" s="1"/>
  <c r="K402" i="7" s="1"/>
  <c r="K762" i="7"/>
  <c r="K752" i="7" s="1"/>
  <c r="K803" i="7"/>
  <c r="K1139" i="7"/>
  <c r="K502" i="7"/>
  <c r="K501" i="7" s="1"/>
  <c r="K500" i="7" s="1"/>
  <c r="K499" i="7" s="1"/>
  <c r="K81" i="7" l="1"/>
  <c r="K894" i="7"/>
  <c r="K893" i="7" s="1"/>
  <c r="K892" i="7" s="1"/>
  <c r="K547" i="7"/>
  <c r="K793" i="7"/>
  <c r="K792" i="7" s="1"/>
  <c r="K791" i="7" s="1"/>
  <c r="K1138" i="7"/>
  <c r="K1137" i="7" s="1"/>
  <c r="K199" i="7"/>
  <c r="K321" i="7"/>
  <c r="K603" i="7"/>
  <c r="K602" i="7" s="1"/>
  <c r="K1434" i="7"/>
  <c r="K1433" i="7" s="1"/>
  <c r="K1432" i="7" s="1"/>
  <c r="K1325" i="7"/>
  <c r="K455" i="7"/>
  <c r="K454" i="7" s="1"/>
  <c r="K453" i="7" s="1"/>
  <c r="K1382" i="7"/>
  <c r="K1381" i="7" s="1"/>
  <c r="K1380" i="7" s="1"/>
  <c r="K864" i="7"/>
  <c r="K863" i="7" s="1"/>
  <c r="K359" i="7"/>
  <c r="K358" i="7" s="1"/>
  <c r="K1442" i="7"/>
  <c r="K50" i="7"/>
  <c r="K44" i="7" s="1"/>
  <c r="K446" i="7"/>
  <c r="K445" i="7" s="1"/>
  <c r="K751" i="7"/>
  <c r="K750" i="7" s="1"/>
  <c r="K1282" i="7"/>
  <c r="K1275" i="7" s="1"/>
  <c r="K1261" i="7" s="1"/>
  <c r="K683" i="7"/>
  <c r="K682" i="7" s="1"/>
  <c r="K546" i="7" l="1"/>
  <c r="K545" i="7" s="1"/>
  <c r="K544" i="7" s="1"/>
  <c r="K543" i="7" s="1"/>
  <c r="K601" i="7"/>
  <c r="K600" i="7" s="1"/>
  <c r="K599" i="7" s="1"/>
  <c r="K1431" i="7"/>
  <c r="K1324" i="7"/>
  <c r="K1317" i="7" s="1"/>
  <c r="K444" i="7"/>
  <c r="K436" i="7" s="1"/>
  <c r="K681" i="7"/>
  <c r="K649" i="7" s="1"/>
  <c r="K648" i="7" s="1"/>
  <c r="K1136" i="7"/>
  <c r="K1036" i="7" s="1"/>
  <c r="K749" i="7"/>
  <c r="K740" i="7" s="1"/>
  <c r="K38" i="7"/>
  <c r="K37" i="7" s="1"/>
  <c r="K987" i="7"/>
  <c r="K979" i="7" l="1"/>
  <c r="K1253" i="7"/>
  <c r="K1252" i="7" s="1"/>
  <c r="K1251" i="7" s="1"/>
  <c r="K1241" i="7" s="1"/>
  <c r="K1196" i="7" s="1"/>
  <c r="K1180" i="7" s="1"/>
  <c r="K26" i="7" l="1"/>
  <c r="M26" i="7" s="1"/>
</calcChain>
</file>

<file path=xl/sharedStrings.xml><?xml version="1.0" encoding="utf-8"?>
<sst xmlns="http://schemas.openxmlformats.org/spreadsheetml/2006/main" count="8664" uniqueCount="665">
  <si>
    <t>№ п/п</t>
  </si>
  <si>
    <t>Общегосударственные вопросы</t>
  </si>
  <si>
    <t>01</t>
  </si>
  <si>
    <t>Функционирование высшего должностного лица субъекта Российской Федерации и муниципального образования</t>
  </si>
  <si>
    <t>02</t>
  </si>
  <si>
    <t>03</t>
  </si>
  <si>
    <t>04</t>
  </si>
  <si>
    <t>05</t>
  </si>
  <si>
    <t>07</t>
  </si>
  <si>
    <t>Другие общегосударственные вопросы</t>
  </si>
  <si>
    <t>14</t>
  </si>
  <si>
    <t xml:space="preserve">Национальная оборона </t>
  </si>
  <si>
    <t>Мобилизационная подготовка экономики</t>
  </si>
  <si>
    <t>Мероприятия по обеспечению мобилизационной готовности экономики</t>
  </si>
  <si>
    <t>Национальная безопасность и правоохранительная деятельность</t>
  </si>
  <si>
    <t>Национальная экономика</t>
  </si>
  <si>
    <t>Сельское хозяйство и рыболовство</t>
  </si>
  <si>
    <t>08</t>
  </si>
  <si>
    <t>Образование</t>
  </si>
  <si>
    <t>Молодежная политика и оздоровление детей</t>
  </si>
  <si>
    <t>Социальная политика</t>
  </si>
  <si>
    <t>10</t>
  </si>
  <si>
    <t>Межбюджетные трансферты</t>
  </si>
  <si>
    <t>11</t>
  </si>
  <si>
    <t>09</t>
  </si>
  <si>
    <t>Дошкольное образование</t>
  </si>
  <si>
    <t>Общее образование</t>
  </si>
  <si>
    <t>Другие вопросы в области образования</t>
  </si>
  <si>
    <t>Социальное обеспечение населения</t>
  </si>
  <si>
    <t>Охрана семьи и детства</t>
  </si>
  <si>
    <t>06</t>
  </si>
  <si>
    <t>929</t>
  </si>
  <si>
    <t>РЗ</t>
  </si>
  <si>
    <t>ПР</t>
  </si>
  <si>
    <t>ЦСР</t>
  </si>
  <si>
    <t>ВР</t>
  </si>
  <si>
    <t>Код бюджетной классификации</t>
  </si>
  <si>
    <t>Вед</t>
  </si>
  <si>
    <t>Наименование</t>
  </si>
  <si>
    <t>ВСЕГО:</t>
  </si>
  <si>
    <t>13</t>
  </si>
  <si>
    <t>Жилищно-коммунальное хозяйство</t>
  </si>
  <si>
    <t>Пенсионное обеспечение</t>
  </si>
  <si>
    <t>Обеспечение деятельности финансовых, налоговых и таможенных органов и органов финансового (финансово-бюджетного) надзора</t>
  </si>
  <si>
    <t>953</t>
  </si>
  <si>
    <t>Другие вопросы в области культуры, кинематографии</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</si>
  <si>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</si>
  <si>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</si>
  <si>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</si>
  <si>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</si>
  <si>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</si>
  <si>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</si>
  <si>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</si>
  <si>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</si>
  <si>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400</t>
  </si>
  <si>
    <t>Социальное обеспечение и иные выплаты населению</t>
  </si>
  <si>
    <t>300</t>
  </si>
  <si>
    <t>700</t>
  </si>
  <si>
    <t>500</t>
  </si>
  <si>
    <t>600</t>
  </si>
  <si>
    <t xml:space="preserve">Расходы на обеспечение функций муниципальных органов </t>
  </si>
  <si>
    <t>Физическая культура и спорт</t>
  </si>
  <si>
    <t>Другие вопросы в области социальной политики</t>
  </si>
  <si>
    <t>Обеспечение деятельности представительного органа местного самоуправления</t>
  </si>
  <si>
    <t xml:space="preserve">Культура, кинематография </t>
  </si>
  <si>
    <t>Другие вопросы в области физической культуры и спорта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</si>
  <si>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</si>
  <si>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</si>
  <si>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Транспорт</t>
  </si>
  <si>
    <t>Другие вопросы в области национальной экономики</t>
  </si>
  <si>
    <t>12</t>
  </si>
  <si>
    <t>Культура, кинематография</t>
  </si>
  <si>
    <t xml:space="preserve">08 </t>
  </si>
  <si>
    <t>934</t>
  </si>
  <si>
    <t>(тыс. рублей)</t>
  </si>
  <si>
    <t>Капитальные вложения в объекты государственной (муниципальной) собственности</t>
  </si>
  <si>
    <t>Непрограммные расходы</t>
  </si>
  <si>
    <t>00</t>
  </si>
  <si>
    <t>00190</t>
  </si>
  <si>
    <t>Компенсационные расходы на выплаты депутатских полномочий</t>
  </si>
  <si>
    <t>60870</t>
  </si>
  <si>
    <t>52</t>
  </si>
  <si>
    <t>60910</t>
  </si>
  <si>
    <t>18</t>
  </si>
  <si>
    <t>24550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</si>
  <si>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</si>
  <si>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</si>
  <si>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</si>
  <si>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</si>
  <si>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</si>
  <si>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</si>
  <si>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</si>
  <si>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</si>
  <si>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</si>
  <si>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</si>
  <si>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</si>
  <si>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</si>
  <si>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</si>
  <si>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</si>
  <si>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</si>
  <si>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Процентные платежи по муниципальному долгу</t>
  </si>
  <si>
    <t>24430</t>
  </si>
  <si>
    <t>53</t>
  </si>
  <si>
    <t>10490</t>
  </si>
  <si>
    <t>54</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</si>
  <si>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</si>
  <si>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</si>
  <si>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</si>
  <si>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</si>
  <si>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Осуществление государственных полномочий по обеспечению государственных гарантий реализации прав на получение общедоступного и бесплатного образования</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</si>
  <si>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</si>
  <si>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</si>
  <si>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</si>
  <si>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</si>
  <si>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</si>
  <si>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</si>
  <si>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</si>
  <si>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</si>
  <si>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</si>
  <si>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</si>
  <si>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</si>
  <si>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Предоставление субсидий бюджетным, автономным учреждениям и иным некоммерческим организациям</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</si>
  <si>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</si>
  <si>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</si>
  <si>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60070</t>
  </si>
  <si>
    <t>Организация и проведение аварийно-спасательных и других неотложных работ при чрезвычайных ситуациях</t>
  </si>
  <si>
    <t>947</t>
  </si>
  <si>
    <t xml:space="preserve">Функционирование законодательных (представительных) органов государственной власти и представительных органов муниципальных образований </t>
  </si>
  <si>
    <t>20</t>
  </si>
  <si>
    <t>3</t>
  </si>
  <si>
    <t>Другие вопросы в области национальной безопасности и правоохранительной деятельности</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</si>
  <si>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</si>
  <si>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</si>
  <si>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Организация и осуществление целенаправленной работы по профилактике распространения наркомании и связанных с ней правонарушений</t>
  </si>
  <si>
    <t xml:space="preserve">18 </t>
  </si>
  <si>
    <t>24540</t>
  </si>
  <si>
    <t>24560</t>
  </si>
  <si>
    <t>21620</t>
  </si>
  <si>
    <t>62500</t>
  </si>
  <si>
    <t>5</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</si>
  <si>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</si>
  <si>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</si>
  <si>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</si>
  <si>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</si>
  <si>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24880</t>
  </si>
  <si>
    <t>Муниципальная программа «Защита населения и территории от чрезвычайных ситуаций, обеспечение пожарной безопасности»</t>
  </si>
  <si>
    <t>Дополнительное образование детей</t>
  </si>
  <si>
    <t>Другие вопросы в области жилищно-коммунального хозяйства</t>
  </si>
  <si>
    <t>Обеспечение деятельности управления ЖКХ и ТЭК</t>
  </si>
  <si>
    <t>24690</t>
  </si>
  <si>
    <t>Обеспечение деятельности муниципального бюджетного учреждения</t>
  </si>
  <si>
    <t>24810</t>
  </si>
  <si>
    <t>24470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</si>
  <si>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</si>
  <si>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24480</t>
  </si>
  <si>
    <t>24800</t>
  </si>
  <si>
    <t>24680</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</si>
  <si>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</si>
  <si>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Сумма</t>
  </si>
  <si>
    <t>ВЕДОМСТВЕННАЯ СТРУКТУРА</t>
  </si>
  <si>
    <t>21610</t>
  </si>
  <si>
    <t xml:space="preserve">Муниципальная программа «Содействие развитию гражданского общества и гармонизации межнациональных отношений» </t>
  </si>
  <si>
    <t>Подпрограмма «Жилище»</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</si>
  <si>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</si>
  <si>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</si>
  <si>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</si>
  <si>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</si>
  <si>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</si>
  <si>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Финансирование расходных обязательств по заработной плате с учетом начислений АНО «Комбинат социального питания»</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</si>
  <si>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</si>
  <si>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Подпрограмма «Развитие детско-юношеского спорта»</t>
  </si>
  <si>
    <t>Подпрограмма «Развитие массового спорта»</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</si>
  <si>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</si>
  <si>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24900</t>
  </si>
  <si>
    <t>Укрепление межрегиональных и межмуниципальных отношений в области курортного дела и туризма</t>
  </si>
  <si>
    <t>Реализация мероприятий по Укреплению межрегиональных и межмуниципальных отношений в области курортного дела и туризма</t>
  </si>
  <si>
    <t>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</si>
  <si>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</si>
  <si>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</si>
  <si>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</si>
  <si>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60220</t>
  </si>
  <si>
    <t>Реализация мероприятий по обеспечению жильем молодых семей</t>
  </si>
  <si>
    <t>L4970</t>
  </si>
  <si>
    <t>Создание условий для поддержания благосостояния отдельных категорий граждан и повышение доступности социального обслуживания населения</t>
  </si>
  <si>
    <t>Культура</t>
  </si>
  <si>
    <t>24460</t>
  </si>
  <si>
    <t>17</t>
  </si>
  <si>
    <t>Повышение уровня доступности приоритетных объектов и услуг для инвалидов и маломобильных групп населения в муниципальном образовании</t>
  </si>
  <si>
    <t>Поддержка общественно полезных программ общественных объединений, направленных на формирование и укрепление гражданского общества</t>
  </si>
  <si>
    <t>24700</t>
  </si>
  <si>
    <t>Реализация мер популяризации среди детей и молодежи научнообразовательной и творческой деятельности, выявление талантливой молодежи</t>
  </si>
  <si>
    <t>24330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</si>
  <si>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</si>
  <si>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24420</t>
  </si>
  <si>
    <t>24790</t>
  </si>
  <si>
    <t>Совершенствование противопожарной защиты населения и объектов инфраструктуры</t>
  </si>
  <si>
    <t>Муниципальная программа  «Защита населения и территории от чрезвычайных ситуаций, обеспечение пожарной безопасности»</t>
  </si>
  <si>
    <t>24640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</si>
  <si>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</si>
  <si>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</si>
  <si>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</si>
  <si>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</si>
  <si>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</si>
  <si>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</si>
  <si>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</si>
  <si>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</si>
  <si>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</si>
  <si>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21240</t>
  </si>
  <si>
    <t>Прочие выплаты по обязательствам муниципального образования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</si>
  <si>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</si>
  <si>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</si>
  <si>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</si>
  <si>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</si>
  <si>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</si>
  <si>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</si>
  <si>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Предоставление субсидий на учреждения деятельность которых приостановлена</t>
  </si>
  <si>
    <t>24370</t>
  </si>
  <si>
    <t>Обеспечение проведения независимой оценки качества условий осуществления образовательной деятельности</t>
  </si>
  <si>
    <t>Обеспечение жилыми помещениями детей-сирот и детей, оставшихся без попечения родителей, а также лиц из их числа</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</si>
  <si>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</si>
  <si>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L3040</t>
  </si>
  <si>
    <t>26000</t>
  </si>
  <si>
    <t>Доведение до МРОТ отдельные категории работников</t>
  </si>
  <si>
    <t>S0470</t>
  </si>
  <si>
    <t>Защита населения и территории от чрезвычайных ситуаций природного и техногенного характера, пожарная безопасность</t>
  </si>
  <si>
    <t xml:space="preserve">расходов бюджета  муниципального образования </t>
  </si>
  <si>
    <t>Муниципальная программа «Содействие развитию гражданского общества и гармонизации межнациональных отношений»</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</si>
  <si>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</si>
  <si>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t>
  </si>
  <si>
    <t xml:space="preserve">01 </t>
  </si>
  <si>
    <t>27000</t>
  </si>
  <si>
    <t>Федеральный проект  «Культурная среда»</t>
  </si>
  <si>
    <t>Государственная поддержка отрасли культуры</t>
  </si>
  <si>
    <t>24571</t>
  </si>
  <si>
    <t>Диспансеризация сотрудников отраслевых (функциональных) органов</t>
  </si>
  <si>
    <t>Профессиональная подготовка, переподготовка и повышение квалификации</t>
  </si>
  <si>
    <t>24572</t>
  </si>
  <si>
    <t>Обучение сотрудников отраслевых (функциональных) органов</t>
  </si>
  <si>
    <t>Укрепление материально-технической базы и оборотных средств отраслевых (функциональных) органов</t>
  </si>
  <si>
    <t>24574</t>
  </si>
  <si>
    <t>24573</t>
  </si>
  <si>
    <t>Приобретение системного программного обеспечения и техническое сопровождение программных продуктов</t>
  </si>
  <si>
    <t>S3550</t>
  </si>
  <si>
    <t>63540</t>
  </si>
  <si>
    <t>00591</t>
  </si>
  <si>
    <t>Обеспечение функционирования модели персонифицированного финансирования дополнительного образования детей</t>
  </si>
  <si>
    <t>69200</t>
  </si>
  <si>
    <t>69120</t>
  </si>
  <si>
    <t>69100</t>
  </si>
  <si>
    <t>69130</t>
  </si>
  <si>
    <t>69190</t>
  </si>
  <si>
    <t>69180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</si>
  <si>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</si>
  <si>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69170</t>
  </si>
  <si>
    <t>63640</t>
  </si>
  <si>
    <t>69110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</si>
  <si>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</si>
  <si>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69140</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</si>
  <si>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</si>
  <si>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69160</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</si>
  <si>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</si>
  <si>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Коммунальное хозяйство</t>
  </si>
  <si>
    <t>S0100</t>
  </si>
  <si>
    <t>24980</t>
  </si>
  <si>
    <t>Организация бесплатного питания детей мобилизованных граждан</t>
  </si>
  <si>
    <t>Спорт высших достижений</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</si>
  <si>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</si>
  <si>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S3410</t>
  </si>
  <si>
    <t>Обеспечение проведения выборов и референдумов</t>
  </si>
  <si>
    <t>51</t>
  </si>
  <si>
    <t>12030</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</si>
  <si>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</si>
  <si>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</si>
  <si>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Муниципальная программа «Обеспечение перевозок обучающихся в образовательных учреждениях и учреждениях социальной сферы»</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</si>
  <si>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</si>
  <si>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</si>
  <si>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</si>
  <si>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Резервные фонды</t>
  </si>
  <si>
    <t>L5190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</si>
  <si>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</si>
  <si>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</si>
  <si>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</si>
  <si>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</si>
  <si>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А0820</t>
  </si>
  <si>
    <t>24670</t>
  </si>
  <si>
    <t xml:space="preserve">Муниципальная программа  «Содействие развитию гражданского общества и гармонизации межнациональных отношений» </t>
  </si>
  <si>
    <t>Финансирование расходных обязательств по укреплению материально-технической базы (приобретение оборудования и мебели)</t>
  </si>
  <si>
    <t>24390</t>
  </si>
  <si>
    <t>62980</t>
  </si>
  <si>
    <t>Дополнительная помощь местным бюджетам для решения социально значимых вопросов местного значения</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</si>
  <si>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</si>
  <si>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00592</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</si>
  <si>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</si>
  <si>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S0170</t>
  </si>
  <si>
    <t>А0470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</si>
  <si>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</si>
  <si>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24340</t>
  </si>
  <si>
    <t>S0640</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</si>
  <si>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</si>
  <si>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60960</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</si>
  <si>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</si>
  <si>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Здравоохранение</t>
  </si>
  <si>
    <t>Амбулаторная помощь</t>
  </si>
  <si>
    <t>Развитие и поддержка одаренных детей</t>
  </si>
  <si>
    <t>24760</t>
  </si>
  <si>
    <t>Единовременная выплата для молодых педагогических работников</t>
  </si>
  <si>
    <t>21630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</si>
  <si>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</si>
  <si>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</si>
  <si>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</si>
  <si>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50500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</si>
  <si>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</si>
  <si>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</si>
  <si>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 xml:space="preserve">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
</t>
  </si>
  <si>
    <t>Обеспечение условий для развития физической культуры и массового спорта в части оплаты труда инструкторов по спорту</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</si>
  <si>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</si>
  <si>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</si>
  <si>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</si>
  <si>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Социальная поддержка отдельных категорий медицинских работников, работающих в государственных организациях</t>
  </si>
  <si>
    <t>25400</t>
  </si>
  <si>
    <t>24300</t>
  </si>
  <si>
    <t>Обеспечение учреждений социальной сферы приборами учета тепловой энергии</t>
  </si>
  <si>
    <t>24520</t>
  </si>
  <si>
    <t>Совет муниципального образования Туапсинский муниципальный округ Краснодарского края</t>
  </si>
  <si>
    <t>Исполнительно-распорядительный орган муниципального образования - администрация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</si>
  <si>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</si>
  <si>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Глава муниципального образования  Туапсинский муниципальный округ Краснодарского края</t>
  </si>
  <si>
    <t>Муниципальная программа «Экономическое развитие»</t>
  </si>
  <si>
    <t xml:space="preserve"> Подпрограмма «Развитие агропромышленного комплекса»</t>
  </si>
  <si>
    <t>Поддержка сельскохозяйственного производства в Туапсинском муниципальном округе</t>
  </si>
  <si>
    <t>Обеспечение функционирования администрации муниципального образования Туапсинский муниципальный округ Краснодарского края</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</si>
  <si>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</si>
  <si>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</si>
  <si>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Реализация мероприятий муниципальной программы «Территория комфортного проживания»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</si>
  <si>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</si>
  <si>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</si>
  <si>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</si>
  <si>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</si>
  <si>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</si>
  <si>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</si>
  <si>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</si>
  <si>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«Грантовая поддержка общественных инициатив и мероприятий, направленных на формирование и укрепление гражданского общества»</t>
  </si>
  <si>
    <t xml:space="preserve">Муниципальная программа «Доступная среда» </t>
  </si>
  <si>
    <t xml:space="preserve">Отдельные мероприятия муниципальной программы «Доступная среда» </t>
  </si>
  <si>
    <t>Муниципальная программа  «Обеспечение безопасности населения»</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</si>
  <si>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</si>
  <si>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</si>
  <si>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</si>
  <si>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«Развитие санаторно-курортного и туристского комплекса»</t>
  </si>
  <si>
    <t>Отдельные мероприятия муниципальной программы «Развитие санаторно-курортного и туристского комплекса»</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</si>
  <si>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</si>
  <si>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Непрограммные расходы органов исполнительной власти Туапсинского муниципального округа Краснодарского края</t>
  </si>
  <si>
    <t>Муниципальная программа «Обеспечение безопасности населения»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</si>
  <si>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</si>
  <si>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Реализация мероприятий  подпрограммы «Развитие агропромышленного комплекса»</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</si>
  <si>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</si>
  <si>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</si>
  <si>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</si>
  <si>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</si>
  <si>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 xml:space="preserve">Реализация мероприятий подпрограммы «Поддержка малого и среднего предпринимательства применяющих специальный налоговый режим «Налог на профессиональный доход» </t>
  </si>
  <si>
    <t>Муниципальная программа «Территория комфортного проживания»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</si>
  <si>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</si>
  <si>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</si>
  <si>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</si>
  <si>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органа</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</si>
  <si>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</si>
  <si>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</si>
  <si>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Финансовое управление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</si>
  <si>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</si>
  <si>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</si>
  <si>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</si>
  <si>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</si>
  <si>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</si>
  <si>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</si>
  <si>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Мероприятия в рамках управления имуществом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</si>
  <si>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</si>
  <si>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Обеспечение деятельности контрольно-счетной палаты муниципального образования Туапсинский муниципальный округ Краснодарского края</t>
  </si>
  <si>
    <t>Управление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</si>
  <si>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</si>
  <si>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</si>
  <si>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Управление имущественных отношений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</si>
  <si>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</si>
  <si>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Управление ЖКХ и ТЭК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</si>
  <si>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</si>
  <si>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</si>
  <si>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Муниципальная программа «Развитие образования»</t>
  </si>
  <si>
    <t>Отдельные мероприятия муниципальной программы «Развитие образования»</t>
  </si>
  <si>
    <t>Развитие сети и инфраструктуры образовательных организаций, обеспечивающих доступ населения Туапсинского муниципального округа к качественным услугам дошкольного, общего образования и дополнительного образования детей</t>
  </si>
  <si>
    <t>Подпрограмма «Профилактика терроризма и экстремимза»</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</si>
  <si>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</si>
  <si>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</si>
  <si>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</si>
  <si>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</si>
  <si>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Реализация мероприятий муниципальной программы «Развитие образования»</t>
  </si>
  <si>
    <t>Управление культуры администрации муниципального образования Туапсинский муниципальный округ Краснодарского края</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</si>
  <si>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</si>
  <si>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</si>
  <si>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</si>
  <si>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</si>
  <si>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</si>
  <si>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Управление по работе с молодежью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</si>
  <si>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</si>
  <si>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</si>
  <si>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t>
  </si>
  <si>
    <t>Создание условий для развития и реализации гражданского становления, потенциала молодежи в муниципальном образовании Туапсинский муниципальный округ</t>
  </si>
  <si>
    <t>Реализация мероприятий муниципальной программы «Молодежь»</t>
  </si>
  <si>
    <t>Управление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</si>
  <si>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«Развитие транспортной системы»</t>
  </si>
  <si>
    <t>Управление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</si>
  <si>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</si>
  <si>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</si>
  <si>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</si>
  <si>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</si>
  <si>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</si>
  <si>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</si>
  <si>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</si>
  <si>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</si>
  <si>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</si>
  <si>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51180</t>
  </si>
  <si>
    <t>Мобилизационная и вневойсковая подготовка</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</si>
  <si>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</si>
  <si>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</si>
  <si>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Организация водоснабжения населения</t>
  </si>
  <si>
    <t>S0330</t>
  </si>
  <si>
    <t>S0620</t>
  </si>
  <si>
    <t>Организация газоснабжения населения (поселений) (строительство подводящих газопроводов, распределительных газопроводов)</t>
  </si>
  <si>
    <t>98100</t>
  </si>
  <si>
    <t>Строительство и реконструкция объектов водоотведения</t>
  </si>
  <si>
    <t>R0820</t>
  </si>
  <si>
    <t>69000</t>
  </si>
  <si>
    <t>63110</t>
  </si>
  <si>
    <t>Обеспечение организации летних каникул как продолжение образовательно-воспитательного процесса</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</si>
  <si>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</si>
  <si>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</si>
  <si>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</si>
  <si>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Совершенствование деятельности муниципальных учреждений отрасли "Культура" </t>
  </si>
  <si>
    <t>S3310</t>
  </si>
  <si>
    <t>L4670</t>
  </si>
  <si>
    <t>L5170</t>
  </si>
  <si>
    <t>Поддержка, ремонт и укрепление материально-технической базы культурной среды в Туапсинском муниципальном округе</t>
  </si>
  <si>
    <t>Обеспечение развития и укрепления материально-технической базы домов культуры в населенных пунктах с числом жителей до 50 тысяч человек</t>
  </si>
  <si>
    <t>Поддержка творческой деятельности и техническое оснащение детских и кукольных театров</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</si>
  <si>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</si>
  <si>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S0290</t>
  </si>
  <si>
    <t>S0360</t>
  </si>
  <si>
    <t>Муниципальная программа «Социальная поддержка детей-сирот и детей, оставшихся без попечения родителей»</t>
  </si>
  <si>
    <t>Подпрограмма «Социальная поддержка детей-сирот и детей, оставшихся без попечения родителей, лиц из их числа»</t>
  </si>
  <si>
    <t>00599</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</si>
  <si>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</si>
  <si>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Лесное хозяйство</t>
  </si>
  <si>
    <t>Кинематография</t>
  </si>
  <si>
    <t>Муниципальная программа "Развитие культуры"</t>
  </si>
  <si>
    <t>Совершенствование деятельности муниципальных учреждений отрасли "Культура" Туапсинского муниципального округа по предоставлению муниципальных услуг</t>
  </si>
  <si>
    <t>55</t>
  </si>
  <si>
    <t>Обслуживание долговых обязательств</t>
  </si>
  <si>
    <t>Финансовое обеспечение долговых обязательств</t>
  </si>
  <si>
    <t>56</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</si>
  <si>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</si>
  <si>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 с учетом этнонациональных традиций народов, проживающих на территории Туапсинского муниципального округа, поддержка творческих проектов, видов и жанров самодеятельного и профессионального искусства, обеспечение прав всех возрастных и социальных групп населения Туапсинского муниципального округа на свободный доступ к культурным ценностям, расширение участия населения в культурной жизни, обеспечение условий для творческой реализации творчески одаренных талантливых жителей</t>
  </si>
  <si>
    <t>Реализация мероприятий муниципальной программы "Развитие культуры"</t>
  </si>
  <si>
    <t>Сохранение, использование, популяризация, охрана объектов культурного наследия и воинских захоронений Туапсинского муниципального округа</t>
  </si>
  <si>
    <t>Создание условий для отдыха населения и организации обустройства мест отдыха населения</t>
  </si>
  <si>
    <t>30100</t>
  </si>
  <si>
    <t>30200</t>
  </si>
  <si>
    <t>Модернизация систем теплоснабжения</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</si>
  <si>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</si>
  <si>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</si>
  <si>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</si>
  <si>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</si>
  <si>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Обеспечение сохранности и развития автомобильных дорог</t>
  </si>
  <si>
    <t>30500</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</si>
  <si>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</si>
  <si>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926</t>
  </si>
  <si>
    <t>Дорожное хозяйство (дорожные фонды)</t>
  </si>
  <si>
    <t>Благоустройство</t>
  </si>
  <si>
    <t>Обеспечение деятельности подведомственных учреждений</t>
  </si>
  <si>
    <t>Массовый спорт</t>
  </si>
  <si>
    <t>Управление по делам ГО и ЧС администрации муниципального образования Туапсинский муниципальный округ Краснодарского края</t>
  </si>
  <si>
    <t>Управление образования администрации муниципального образования Туапсинский муниципальный округ Краснодарского края</t>
  </si>
  <si>
    <t>Управление по физической культуре и спорту  администрации муниципального образования Туапсинский муниципальный округ Краснодарского края</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</si>
  <si>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</si>
  <si>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 xml:space="preserve"> Туапсинский муниципальный округ Краснодарского края на 2025 год </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</si>
  <si>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</si>
  <si>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</si>
  <si>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</si>
  <si>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А0620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</si>
  <si>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</si>
  <si>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</si>
  <si>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</si>
  <si>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А1</t>
  </si>
  <si>
    <t>54540</t>
  </si>
  <si>
    <t>Создание модельных муниципальных библиотек</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</si>
  <si>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софинансирвания</t>
  </si>
  <si>
    <t>А0640</t>
  </si>
  <si>
    <t>Проведение туристско-краеведческих мероприятий с детьми</t>
  </si>
  <si>
    <t>24350</t>
  </si>
  <si>
    <t>Управление опеки и попечительства в отношении несовершеннолетних администрации муниципального образования Туапсинский муниципальный округ Краснодарского края</t>
  </si>
  <si>
    <t>Организация подвоза обучающихся,проживающих на территории Туапсинского муниципального округа Краснодарского края, в муниципальные образования Краснодарского края</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</si>
  <si>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</si>
  <si>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</si>
  <si>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</si>
  <si>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Отдельные мероприятия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</si>
  <si>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</si>
  <si>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24320</t>
  </si>
  <si>
    <t>Обеспечение деятельности системы управления и оказания услуг в сфере культуры, искусства, кинематографии и дополнительного образования</t>
  </si>
  <si>
    <t>23040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</si>
  <si>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</si>
  <si>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</si>
  <si>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Подпрограмма "Благоустройство территорий"</t>
  </si>
  <si>
    <t>Подпрограмма "Теплоснабжение"</t>
  </si>
  <si>
    <t>Реализация мероприятий подпрограммы "Теплоснабжение"</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</si>
  <si>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</si>
  <si>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</si>
  <si>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</si>
  <si>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«Формирование инвестиционной привлекательности»</t>
  </si>
  <si>
    <t>Подпрограмма «Информационное обеспечение населения»</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</si>
  <si>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</si>
  <si>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</si>
  <si>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</si>
  <si>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</si>
  <si>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</si>
  <si>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Реализация мероприятий подпрограммы «Укрепление единства российской нации на территории муниципального образования Туапсинский муниципальный округ» </t>
  </si>
  <si>
    <t>Реализация мероприятий подпрограммы «Развитие массового спорта»</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</si>
  <si>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</si>
  <si>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муниципального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</si>
  <si>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t>
  </si>
  <si>
    <t>Обеспечение деятельности и организация работы муниципального казенного учреждения «Молодежный центр Туапсинского муниципального округа»</t>
  </si>
  <si>
    <t>Обеспечение деятельности управления по работе с молодежью администрации муниципального образования Туапсинский муниципальный округ</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</si>
  <si>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</si>
  <si>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Развитие и совершенствование имущественных и земельных отношений в Туапсинском округе для обеспечения решения задач социально-экономического развития</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</si>
  <si>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</si>
  <si>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Формирование востребованной системы оценки качества образования и образовательных результатов</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</si>
  <si>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</si>
  <si>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</si>
  <si>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</si>
  <si>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</si>
  <si>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</si>
  <si>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</si>
  <si>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</si>
  <si>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</si>
  <si>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</si>
  <si>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</si>
  <si>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</si>
  <si>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</si>
  <si>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</si>
  <si>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Осуществление мероприятий по содержанию в порядке и благоустройству воинских захоронений</t>
  </si>
  <si>
    <t>24860</t>
  </si>
  <si>
    <t>Муниципальная программа "Развитие жилищно-коммунального хозяйства"</t>
  </si>
  <si>
    <t>Повышение уровня благоустройства населенных пунктов Туапсинского муниципального округа</t>
  </si>
  <si>
    <t>Уличное освещение</t>
  </si>
  <si>
    <t>25500</t>
  </si>
  <si>
    <t xml:space="preserve">Организация газоснабжения населения </t>
  </si>
  <si>
    <t xml:space="preserve">Муниципальная программа «Управление муниципальной собственностью»
</t>
  </si>
  <si>
    <t>Реализация мероприятий подпрограммы "Благоустройство территорий"</t>
  </si>
  <si>
    <t>Обслуживание государственного (муниципального) долга</t>
  </si>
  <si>
    <t>Обслуживание государственного (муниципального) внутреннего долга</t>
  </si>
  <si>
    <t>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</si>
  <si>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S0310</t>
  </si>
  <si>
    <t>Организация водоотведения</t>
  </si>
  <si>
    <t>Организация свободного времени детей, через различные формы отдыха, оздоровления и занятости</t>
  </si>
  <si>
    <t>21300</t>
  </si>
  <si>
    <t>24200</t>
  </si>
  <si>
    <t>Организация сбора и вывоза бытовых отходов и мусора, уборка территории</t>
  </si>
  <si>
    <t>24510</t>
  </si>
  <si>
    <t>Реализация отдельных мероприятий муниципальной программы "Развитие жилищно-коммунального хозяйства"</t>
  </si>
  <si>
    <t>21200</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</si>
  <si>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</si>
  <si>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</si>
  <si>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</si>
  <si>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</si>
  <si>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24720</t>
  </si>
  <si>
    <t>Организация ритуальных услуг и содержание мест захоронения</t>
  </si>
  <si>
    <t>23030</t>
  </si>
  <si>
    <t>Ежегодные членские взносы</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</si>
  <si>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</si>
  <si>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Осуществление капитальных ремонтов, ремонтов и сносов зданий и сооружений подведомственных учреждений</t>
  </si>
  <si>
    <t>24990</t>
  </si>
  <si>
    <t>Компенсация за одноразовое горячее питание детей-инвалидов, которые из-за болезни не могут посещать школу</t>
  </si>
  <si>
    <t>24820</t>
  </si>
  <si>
    <t>Капитальные и текущие ремонты подведомственных учреждений и объектов физической культуры и спорта</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</si>
  <si>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</si>
  <si>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</si>
  <si>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</si>
  <si>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</si>
  <si>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</si>
  <si>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</si>
  <si>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</si>
  <si>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</si>
  <si>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 xml:space="preserve">Осуществление капитальных ремонтов, ремонтов и сносов зданий и сооружений подведомственных учреждений </t>
  </si>
  <si>
    <t>24505</t>
  </si>
  <si>
    <t>Укрепление материально-технической базы спортивных школ</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</si>
  <si>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</si>
  <si>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S1220</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</si>
  <si>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</si>
  <si>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</si>
  <si>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Физическая культура</t>
  </si>
  <si>
    <t>21180</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</si>
  <si>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</si>
  <si>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Средства резервного фонда администрации Краснодарского края</t>
  </si>
  <si>
    <t>0</t>
  </si>
  <si>
    <t>S2590</t>
  </si>
  <si>
    <t>Отдельные мероприятия муниципальной программы "Развитие жилищно-коммунального хозяйства"</t>
  </si>
  <si>
    <t>97510</t>
  </si>
  <si>
    <t>А0360</t>
  </si>
  <si>
    <t>Обеспечение развития и укрепления материально-технической базы домов культуры в населенных пунктах с числом жителей до 50 тысяч человек, сверх сумм софинансирования</t>
  </si>
  <si>
    <t>А4670</t>
  </si>
  <si>
    <t>920</t>
  </si>
  <si>
    <t>Подпрограмма "Создание системы комплексного обеспечения безопасности жизнедеятельности на территории муниципального образования Туапсинский муниципальный округ"</t>
  </si>
  <si>
    <t>Участие в предупреждении чрезвычайных ситуаций в части развития систем видеонаблюдения муниципального образования</t>
  </si>
  <si>
    <t>20250</t>
  </si>
  <si>
    <t>Cоздание системы комплексного обеспечения безопасности жизнедеятельности</t>
  </si>
  <si>
    <t>24500</t>
  </si>
  <si>
    <t>Улучшение кадрового обеспечения муниципальных учреждений дополнительного образования отрасли отрасли "Физическая культура и спорт"</t>
  </si>
  <si>
    <t>21290</t>
  </si>
  <si>
    <t>Реализация отдельных мероприятий подпрограммы "Обеспечение перевозок обучающихся в образовательных учреждениях и учреждениях социальной сферы"</t>
  </si>
  <si>
    <t>69210</t>
  </si>
  <si>
    <t>62590</t>
  </si>
  <si>
    <t>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</si>
  <si>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отдыха детей в каникулярное врем в профильных лагерях, организованных муниципальными образовательными организациями</t>
  </si>
  <si>
    <t>Организация и проведение экстренных мероприятий по расчистке русел рек от поваленных деревьев  и других древесных остатков (за исключением затрат на утилизацию древесных остатков)</t>
  </si>
  <si>
    <t>А0360 Дополнительное финансирование на создание условий для массового отдыха и организации обустройства мест массового отдыха на территориях муниципальных образований, в которых  ранее был введен курортный сбор (в части финансового обеспечения работ по строительству, реконструкции, благоустройству и ремонту объектов курортной инфраструктуры)</t>
  </si>
  <si>
    <t>60390</t>
  </si>
  <si>
    <t>62950</t>
  </si>
  <si>
    <t>Поощрение победителей конкурса на звание "Лучший орган территориального общественного самоуправления"</t>
  </si>
  <si>
    <t>Поддержка местных инициатив по итогам краевого конкурса</t>
  </si>
  <si>
    <t>24440</t>
  </si>
  <si>
    <t>Обеспечение антитеррористической защищенности привокзальной площади города Туапсе</t>
  </si>
  <si>
    <t>Я5</t>
  </si>
  <si>
    <t>Д4540</t>
  </si>
  <si>
    <t>Региональный проект "Семейные ценности и инфраструктура культуры"</t>
  </si>
  <si>
    <t>Создание модельных муниципальных библиотек сверх сумм софинансирования</t>
  </si>
  <si>
    <t>А3310</t>
  </si>
  <si>
    <t xml:space="preserve">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 сверх сумм софинансирования </t>
  </si>
  <si>
    <t>новый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</si>
  <si>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сверх сумм софинансирования</t>
  </si>
  <si>
    <t>A1200</t>
  </si>
  <si>
    <t>A1220</t>
  </si>
  <si>
    <t xml:space="preserve">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образования,сверх сумм софинансирования  </t>
  </si>
  <si>
    <t>9Д010</t>
  </si>
  <si>
    <t>9Д020</t>
  </si>
  <si>
    <t>9Д030</t>
  </si>
  <si>
    <t>9Д410</t>
  </si>
  <si>
    <t>Капитальный ремонт и ремонт автомобильных дорог общего пользования муниципального значения и искусственных дорожных сооружений на них, включая проектно-изыскательские работы</t>
  </si>
  <si>
    <t>Строительство и реконструкция автомобильных дорог муниципального значения и искусственных дорожных сооружений на них, включая проектно-изыскательские работы</t>
  </si>
  <si>
    <t>Содержание автомобильных дорог муниципального значения и искусственных дорожных сооружений на них, включая проектные работы</t>
  </si>
  <si>
    <t xml:space="preserve">Обеспечение транспортной безопасности объектов дорожного хозяйства </t>
  </si>
  <si>
    <t>новый КБК</t>
  </si>
  <si>
    <t>414</t>
  </si>
  <si>
    <t>Реализация мероприятий муниципальной программы "Территория комфортного проживания"</t>
  </si>
  <si>
    <t>Проведение мероприятий по предупреждению чрезвычайных ситуаций природного и техногенного характера</t>
  </si>
  <si>
    <t>21594</t>
  </si>
  <si>
    <t>SД030</t>
  </si>
  <si>
    <t>АД030</t>
  </si>
  <si>
    <t>Строительство (реконструкция) автомобильных дорог общего пользования местного значения</t>
  </si>
  <si>
    <t>Строительство (реконструкция) автомобильных дорог общего пользования местного значения сверх сумм софинансирования</t>
  </si>
  <si>
    <t>S0500</t>
  </si>
  <si>
    <t xml:space="preserve">Обеспечение безопасных условий и охраны труда муниципальных служащих </t>
  </si>
  <si>
    <t>24575</t>
  </si>
  <si>
    <t>25110</t>
  </si>
  <si>
    <t>Вознаграждение гражданам, получившим  звание "Почетный гражданин Туапсинского муниципального округа"</t>
  </si>
  <si>
    <t>финансового управления администрации</t>
  </si>
  <si>
    <t xml:space="preserve">Туапсинского муниципального округа   </t>
  </si>
  <si>
    <t>И.Б. Тищенко</t>
  </si>
  <si>
    <t>Исполняющий обязанности начальника</t>
  </si>
  <si>
    <t>Участие в организации деятельности по накоплению (в том числе раздельному накоплению) и транспортированию твердых коммунальных отходов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</si>
</sst>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р_._-;\-* #,##0.00_р_._-;_-* &quot;-&quot;??_р_._-;_-@_-"/>
    <numFmt numFmtId="164" formatCode="_-* #,##0.00\ _₽_-;\-* #,##0.00\ _₽_-;_-* &quot;-&quot;??\ _₽_-;_-@_-"/>
    <numFmt numFmtId="165" formatCode="#,##0.0"/>
    <numFmt numFmtId="166" formatCode="#,##0.00&quot;р.&quot;"/>
    <numFmt numFmtId="167" formatCode="#,##0.00\ &quot;₽&quot;"/>
    <numFmt numFmtId="168" formatCode="0.0"/>
    <numFmt numFmtId="169" formatCode="#,##0.0_р_."/>
    <numFmt numFmtId="170" formatCode="_-* #,##0.0_р_._-;\-* #,##0.0_р_._-;_-* &quot;-&quot;?_р_._-;_-@_-"/>
  </numFmts>
  <fonts count="59"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b/>
      <sz val="14"/>
      <color indexed="8"/>
      <name val="Times New Roman"/>
      <family val="1"/>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1"/>
      <name val="Arial Cyr"/>
      <charset val="204"/>
    </font>
    <font>
      <sz val="11"/>
      <color rgb="FFFF0000"/>
      <name val="Arial Cyr"/>
      <charset val="204"/>
    </font>
    <font>
      <sz val="12"/>
      <name val="Arial Cyr"/>
      <charset val="204"/>
    </font>
    <font>
      <sz val="14"/>
      <color theme="1"/>
      <name val="Arial Cyr"/>
      <charset val="204"/>
    </font>
    <font>
      <sz val="12"/>
      <color theme="1"/>
      <name val="Times New Roman"/>
      <family val="1"/>
      <charset val="204"/>
    </font>
    <font>
      <sz val="14"/>
      <color theme="1"/>
      <name val="Times New Roman"/>
      <family val="1"/>
      <charset val="204"/>
    </font>
    <font>
      <sz val="10"/>
      <color theme="1"/>
      <name val="Arial Cyr"/>
      <charset val="204"/>
    </font>
    <font>
      <sz val="11"/>
      <name val="Times New Roman"/>
      <family val="1"/>
      <charset val="204"/>
    </font>
    <font>
      <sz val="11"/>
      <color theme="1"/>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030">
    <xf numFmtId="0" fontId="0" fillId="0" borderId="0"/>
    <xf numFmtId="0" fontId="29" fillId="2" borderId="0" applyNumberFormat="0" applyBorder="0" applyAlignment="0" applyProtection="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5" borderId="0" applyNumberFormat="0" applyBorder="0" applyAlignment="0" applyProtection="0"/>
    <xf numFmtId="0" fontId="29" fillId="8" borderId="0" applyNumberFormat="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9" borderId="0" applyNumberFormat="0" applyBorder="0" applyAlignment="0" applyProtection="0"/>
    <xf numFmtId="0" fontId="31" fillId="7" borderId="1" applyNumberFormat="0" applyAlignment="0" applyProtection="0"/>
    <xf numFmtId="0" fontId="32" fillId="20" borderId="2" applyNumberFormat="0" applyAlignment="0" applyProtection="0"/>
    <xf numFmtId="0" fontId="33" fillId="20" borderId="1" applyNumberFormat="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7" fillId="0" borderId="6" applyNumberFormat="0" applyFill="0" applyAlignment="0" applyProtection="0"/>
    <xf numFmtId="0" fontId="38" fillId="21" borderId="7" applyNumberFormat="0" applyAlignment="0" applyProtection="0"/>
    <xf numFmtId="0" fontId="39" fillId="0" borderId="0" applyNumberFormat="0" applyFill="0" applyBorder="0" applyAlignment="0" applyProtection="0"/>
    <xf numFmtId="0" fontId="40" fillId="22" borderId="0" applyNumberFormat="0" applyBorder="0" applyAlignment="0" applyProtection="0"/>
    <xf numFmtId="0" fontId="41" fillId="3" borderId="0" applyNumberFormat="0" applyBorder="0" applyAlignment="0" applyProtection="0"/>
    <xf numFmtId="0" fontId="42" fillId="0" borderId="0" applyNumberFormat="0" applyFill="0" applyBorder="0" applyAlignment="0" applyProtection="0"/>
    <xf numFmtId="0" fontId="24" fillId="23" borderId="8" applyNumberFormat="0" applyFont="0" applyAlignment="0" applyProtection="0"/>
    <xf numFmtId="0" fontId="43" fillId="0" borderId="9" applyNumberFormat="0" applyFill="0" applyAlignment="0" applyProtection="0"/>
    <xf numFmtId="0" fontId="44" fillId="0" borderId="0" applyNumberFormat="0" applyFill="0" applyBorder="0" applyAlignment="0" applyProtection="0"/>
    <xf numFmtId="43" fontId="46" fillId="0" borderId="0" applyFont="0" applyFill="0" applyBorder="0" applyAlignment="0" applyProtection="0"/>
    <xf numFmtId="0" fontId="45" fillId="4" borderId="0" applyNumberFormat="0" applyBorder="0" applyAlignment="0" applyProtection="0"/>
    <xf numFmtId="0" fontId="47" fillId="0" borderId="0"/>
    <xf numFmtId="0" fontId="48" fillId="0" borderId="0"/>
    <xf numFmtId="9" fontId="46" fillId="0" borderId="0" applyFont="0" applyFill="0" applyBorder="0" applyAlignment="0" applyProtection="0"/>
    <xf numFmtId="0" fontId="48" fillId="0" borderId="0"/>
    <xf numFmtId="43" fontId="24" fillId="0" borderId="0" applyFont="0" applyFill="0" applyBorder="0" applyAlignment="0" applyProtection="0"/>
    <xf numFmtId="0" fontId="23" fillId="0" borderId="0"/>
    <xf numFmtId="9" fontId="24" fillId="0" borderId="0" applyFont="0" applyFill="0" applyBorder="0" applyAlignment="0" applyProtection="0"/>
    <xf numFmtId="0" fontId="23"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18" fillId="0" borderId="0"/>
    <xf numFmtId="0" fontId="18" fillId="0" borderId="0"/>
    <xf numFmtId="0" fontId="17" fillId="0" borderId="0"/>
    <xf numFmtId="0" fontId="17" fillId="0" borderId="0"/>
    <xf numFmtId="0" fontId="16" fillId="0" borderId="0"/>
    <xf numFmtId="0" fontId="16" fillId="0" borderId="0"/>
    <xf numFmtId="0" fontId="15" fillId="0" borderId="0"/>
    <xf numFmtId="0" fontId="15" fillId="0" borderId="0"/>
    <xf numFmtId="0" fontId="14" fillId="0" borderId="0"/>
    <xf numFmtId="0" fontId="14" fillId="0" borderId="0"/>
    <xf numFmtId="0" fontId="13" fillId="0" borderId="0"/>
    <xf numFmtId="0" fontId="13" fillId="0" borderId="0"/>
    <xf numFmtId="0" fontId="12" fillId="0" borderId="0"/>
    <xf numFmtId="0" fontId="12" fillId="0" borderId="0"/>
    <xf numFmtId="164" fontId="24" fillId="0" borderId="0" applyFont="0" applyFill="0" applyBorder="0" applyAlignment="0" applyProtection="0"/>
    <xf numFmtId="43" fontId="24" fillId="0" borderId="0" applyFont="0" applyFill="0" applyBorder="0" applyAlignment="0" applyProtection="0"/>
    <xf numFmtId="0" fontId="12" fillId="0" borderId="0"/>
    <xf numFmtId="9" fontId="24"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
    <xf numFmtId="0" fontId="0" fillId="0" borderId="0" xfId="0"/>
    <xf numFmtId="0" fontId="49" fillId="24" borderId="10" xfId="0" applyFont="1" applyFill="1" applyBorder="1" applyAlignment="1">
      <alignment horizontal="left" vertical="top" wrapText="1"/>
    </xf>
    <xf numFmtId="0" fontId="49" fillId="24" borderId="10" xfId="0" applyFont="1" applyFill="1" applyBorder="1" applyAlignment="1">
      <alignment horizontal="center" vertical="top" wrapText="1"/>
    </xf>
    <xf numFmtId="49" fontId="49" fillId="24" borderId="10" xfId="43" applyNumberFormat="1" applyFont="1" applyFill="1" applyBorder="1" applyAlignment="1" applyProtection="1">
      <alignment horizontal="left" vertical="top" wrapText="1"/>
      <protection hidden="1"/>
    </xf>
    <xf numFmtId="0" fontId="53" fillId="24" borderId="0" xfId="0" applyFont="1" applyFill="1" applyAlignment="1">
      <alignment horizontal="center" vertical="top"/>
    </xf>
    <xf numFmtId="0" fontId="54" fillId="24" borderId="10" xfId="0" applyFont="1" applyFill="1" applyBorder="1" applyAlignment="1" applyProtection="1">
      <alignment horizontal="center" vertical="top" wrapText="1"/>
      <protection locked="0"/>
    </xf>
    <xf numFmtId="165" fontId="54" fillId="24" borderId="10" xfId="0" applyNumberFormat="1" applyFont="1" applyFill="1" applyBorder="1" applyAlignment="1">
      <alignment horizontal="center" vertical="top"/>
    </xf>
    <xf numFmtId="169" fontId="54" fillId="24" borderId="10" xfId="0" applyNumberFormat="1" applyFont="1" applyFill="1" applyBorder="1" applyAlignment="1">
      <alignment horizontal="center" vertical="top"/>
    </xf>
    <xf numFmtId="0" fontId="55" fillId="24" borderId="0" xfId="0" applyFont="1" applyFill="1" applyAlignment="1">
      <alignment horizontal="right" vertical="top"/>
    </xf>
    <xf numFmtId="0" fontId="55" fillId="24" borderId="0" xfId="0" applyFont="1" applyFill="1" applyAlignment="1">
      <alignment horizontal="right"/>
    </xf>
    <xf numFmtId="168" fontId="55" fillId="24" borderId="0" xfId="0" applyNumberFormat="1" applyFont="1" applyFill="1" applyBorder="1" applyAlignment="1">
      <alignment horizontal="right"/>
    </xf>
    <xf numFmtId="0" fontId="56" fillId="24" borderId="0" xfId="0" applyFont="1" applyFill="1" applyAlignment="1">
      <alignment horizontal="center" vertical="top"/>
    </xf>
    <xf numFmtId="0" fontId="26" fillId="24" borderId="0" xfId="0" applyFont="1" applyFill="1" applyAlignment="1">
      <alignment horizontal="justify" vertical="justify"/>
    </xf>
    <xf numFmtId="0" fontId="26" fillId="24" borderId="0" xfId="0" applyFont="1" applyFill="1" applyAlignment="1">
      <alignment horizontal="center" vertical="top"/>
    </xf>
    <xf numFmtId="49" fontId="26" fillId="24" borderId="0" xfId="0" applyNumberFormat="1" applyFont="1" applyFill="1" applyAlignment="1">
      <alignment horizontal="center" vertical="top"/>
    </xf>
    <xf numFmtId="0" fontId="26" fillId="24" borderId="0" xfId="0" applyFont="1" applyFill="1" applyAlignment="1">
      <alignment vertical="top"/>
    </xf>
    <xf numFmtId="165" fontId="26" fillId="24" borderId="0" xfId="0" applyNumberFormat="1" applyFont="1" applyFill="1" applyAlignment="1">
      <alignment vertical="top"/>
    </xf>
    <xf numFmtId="0" fontId="27" fillId="24" borderId="0" xfId="0" applyFont="1" applyFill="1" applyAlignment="1">
      <alignment vertical="top"/>
    </xf>
    <xf numFmtId="0" fontId="27" fillId="24" borderId="0" xfId="0" applyFont="1" applyFill="1" applyBorder="1" applyAlignment="1">
      <alignment horizontal="justify" vertical="justify"/>
    </xf>
    <xf numFmtId="0" fontId="27" fillId="24" borderId="0" xfId="0" applyFont="1" applyFill="1" applyAlignment="1">
      <alignment horizontal="center" vertical="top"/>
    </xf>
    <xf numFmtId="49" fontId="27" fillId="24" borderId="0" xfId="0" applyNumberFormat="1" applyFont="1" applyFill="1" applyAlignment="1">
      <alignment horizontal="center" vertical="top"/>
    </xf>
    <xf numFmtId="49" fontId="27" fillId="24" borderId="0" xfId="0" applyNumberFormat="1" applyFont="1" applyFill="1" applyBorder="1" applyAlignment="1">
      <alignment horizontal="center" vertical="top"/>
    </xf>
    <xf numFmtId="0" fontId="27" fillId="24" borderId="0" xfId="0" applyFont="1" applyFill="1" applyBorder="1" applyAlignment="1">
      <alignment horizontal="center" vertical="top"/>
    </xf>
    <xf numFmtId="0" fontId="28" fillId="24" borderId="0" xfId="0" applyFont="1" applyFill="1" applyBorder="1" applyAlignment="1" applyProtection="1">
      <alignment horizontal="center" vertical="top" wrapText="1"/>
      <protection locked="0"/>
    </xf>
    <xf numFmtId="0" fontId="28" fillId="24" borderId="0" xfId="0" applyFont="1" applyFill="1" applyBorder="1" applyAlignment="1" applyProtection="1">
      <alignment horizontal="justify" vertical="justify" wrapText="1"/>
      <protection locked="0"/>
    </xf>
    <xf numFmtId="49" fontId="28" fillId="24" borderId="0" xfId="0" applyNumberFormat="1" applyFont="1" applyFill="1" applyBorder="1" applyAlignment="1" applyProtection="1">
      <alignment horizontal="center" vertical="top" wrapText="1"/>
      <protection locked="0"/>
    </xf>
    <xf numFmtId="4" fontId="26" fillId="24" borderId="0" xfId="0" applyNumberFormat="1" applyFont="1" applyFill="1" applyAlignment="1">
      <alignment vertical="top"/>
    </xf>
    <xf numFmtId="49" fontId="49" fillId="24" borderId="10" xfId="0" applyNumberFormat="1" applyFont="1" applyFill="1" applyBorder="1" applyAlignment="1" applyProtection="1">
      <alignment horizontal="center" vertical="top" wrapText="1"/>
      <protection locked="0"/>
    </xf>
    <xf numFmtId="0" fontId="49" fillId="24" borderId="10" xfId="0" applyFont="1" applyFill="1" applyBorder="1" applyAlignment="1" applyProtection="1">
      <alignment horizontal="center" vertical="top" wrapText="1"/>
      <protection locked="0"/>
    </xf>
    <xf numFmtId="0" fontId="49" fillId="24" borderId="10" xfId="0" applyFont="1" applyFill="1" applyBorder="1" applyAlignment="1" applyProtection="1">
      <alignment horizontal="center" vertical="justify" wrapText="1"/>
      <protection locked="0"/>
    </xf>
    <xf numFmtId="0" fontId="49" fillId="24" borderId="10" xfId="0" applyFont="1" applyFill="1" applyBorder="1" applyAlignment="1" applyProtection="1">
      <alignment horizontal="justify" vertical="justify" wrapText="1"/>
      <protection locked="0"/>
    </xf>
    <xf numFmtId="4" fontId="52" fillId="24" borderId="0" xfId="0" applyNumberFormat="1" applyFont="1" applyFill="1" applyAlignment="1">
      <alignment vertical="top"/>
    </xf>
    <xf numFmtId="165" fontId="52" fillId="24" borderId="0" xfId="0" applyNumberFormat="1" applyFont="1" applyFill="1" applyAlignment="1">
      <alignment vertical="top"/>
    </xf>
    <xf numFmtId="0" fontId="52" fillId="24" borderId="0" xfId="0" applyFont="1" applyFill="1" applyAlignment="1">
      <alignment vertical="top"/>
    </xf>
    <xf numFmtId="1" fontId="49" fillId="24" borderId="10" xfId="0" applyNumberFormat="1" applyFont="1" applyFill="1" applyBorder="1" applyAlignment="1" applyProtection="1">
      <alignment horizontal="center" vertical="top" wrapText="1"/>
      <protection locked="0"/>
    </xf>
    <xf numFmtId="165" fontId="49" fillId="24" borderId="10" xfId="0" applyNumberFormat="1" applyFont="1" applyFill="1" applyBorder="1" applyAlignment="1" applyProtection="1">
      <alignment horizontal="left" vertical="top" wrapText="1"/>
      <protection locked="0"/>
    </xf>
    <xf numFmtId="165" fontId="49" fillId="24" borderId="10" xfId="0" applyNumberFormat="1" applyFont="1" applyFill="1" applyBorder="1" applyAlignment="1" applyProtection="1">
      <alignment horizontal="center" vertical="top" wrapText="1"/>
      <protection locked="0"/>
    </xf>
    <xf numFmtId="49" fontId="49" fillId="24" borderId="10" xfId="0" applyNumberFormat="1" applyFont="1" applyFill="1" applyBorder="1" applyAlignment="1">
      <alignment horizontal="center" vertical="top"/>
    </xf>
    <xf numFmtId="0" fontId="49" fillId="24" borderId="10" xfId="0" applyFont="1" applyFill="1" applyBorder="1" applyAlignment="1">
      <alignment horizontal="center" vertical="top"/>
    </xf>
    <xf numFmtId="49" fontId="49" fillId="24" borderId="10" xfId="0" applyNumberFormat="1" applyFont="1" applyFill="1" applyBorder="1" applyAlignment="1">
      <alignment horizontal="center" vertical="top" wrapText="1"/>
    </xf>
    <xf numFmtId="49" fontId="49" fillId="24" borderId="10" xfId="0" applyNumberFormat="1" applyFont="1" applyFill="1" applyBorder="1" applyAlignment="1">
      <alignment horizontal="left" vertical="top" wrapText="1"/>
    </xf>
    <xf numFmtId="2" fontId="49" fillId="24" borderId="10" xfId="0" applyNumberFormat="1" applyFont="1" applyFill="1" applyBorder="1" applyAlignment="1">
      <alignment horizontal="left" vertical="top" wrapText="1"/>
    </xf>
    <xf numFmtId="11" fontId="49" fillId="24" borderId="10" xfId="43" applyNumberFormat="1" applyFont="1" applyFill="1" applyBorder="1" applyAlignment="1" applyProtection="1">
      <alignment horizontal="left" vertical="top" wrapText="1"/>
      <protection hidden="1"/>
    </xf>
    <xf numFmtId="49" fontId="49" fillId="24" borderId="12" xfId="43" applyNumberFormat="1" applyFont="1" applyFill="1" applyBorder="1" applyAlignment="1" applyProtection="1">
      <alignment horizontal="left" vertical="top" wrapText="1"/>
      <protection hidden="1"/>
    </xf>
    <xf numFmtId="12" fontId="49" fillId="24" borderId="10" xfId="0" applyNumberFormat="1" applyFont="1" applyFill="1" applyBorder="1" applyAlignment="1">
      <alignment horizontal="left" vertical="top" wrapText="1"/>
    </xf>
    <xf numFmtId="4" fontId="26" fillId="24" borderId="0" xfId="0" applyNumberFormat="1" applyFont="1" applyFill="1" applyBorder="1" applyAlignment="1">
      <alignment vertical="top"/>
    </xf>
    <xf numFmtId="0" fontId="49" fillId="24" borderId="12" xfId="0" applyFont="1" applyFill="1" applyBorder="1" applyAlignment="1">
      <alignment horizontal="left" vertical="top" wrapText="1"/>
    </xf>
    <xf numFmtId="0" fontId="49" fillId="24" borderId="10" xfId="0" applyFont="1" applyFill="1" applyBorder="1" applyAlignment="1">
      <alignment horizontal="left" vertical="top"/>
    </xf>
    <xf numFmtId="0" fontId="49" fillId="24" borderId="10" xfId="0" applyFont="1" applyFill="1" applyBorder="1" applyAlignment="1">
      <alignment vertical="top" wrapText="1"/>
    </xf>
    <xf numFmtId="3" fontId="49" fillId="24" borderId="10" xfId="0" applyNumberFormat="1" applyFont="1" applyFill="1" applyBorder="1" applyAlignment="1">
      <alignment horizontal="center" vertical="top" wrapText="1"/>
    </xf>
    <xf numFmtId="4" fontId="50" fillId="24" borderId="0" xfId="0" applyNumberFormat="1" applyFont="1" applyFill="1" applyAlignment="1">
      <alignment vertical="top"/>
    </xf>
    <xf numFmtId="165" fontId="49" fillId="24" borderId="0" xfId="0" applyNumberFormat="1" applyFont="1" applyFill="1" applyBorder="1" applyAlignment="1">
      <alignment horizontal="center" vertical="top"/>
    </xf>
    <xf numFmtId="0" fontId="49" fillId="24" borderId="14" xfId="0" applyFont="1" applyFill="1" applyBorder="1" applyAlignment="1">
      <alignment horizontal="center" vertical="top"/>
    </xf>
    <xf numFmtId="49" fontId="49" fillId="24" borderId="12" xfId="0" applyNumberFormat="1" applyFont="1" applyFill="1" applyBorder="1" applyAlignment="1">
      <alignment horizontal="left" vertical="top" wrapText="1"/>
    </xf>
    <xf numFmtId="11" fontId="49" fillId="24" borderId="10" xfId="0" applyNumberFormat="1" applyFont="1" applyFill="1" applyBorder="1" applyAlignment="1">
      <alignment horizontal="left" vertical="top" wrapText="1"/>
    </xf>
    <xf numFmtId="0" fontId="49" fillId="24" borderId="14" xfId="0" applyFont="1" applyFill="1" applyBorder="1" applyAlignment="1">
      <alignment horizontal="center" vertical="top" wrapText="1"/>
    </xf>
    <xf numFmtId="0" fontId="49" fillId="24" borderId="10" xfId="0" applyFont="1" applyFill="1" applyBorder="1" applyAlignment="1">
      <alignment horizontal="justify" vertical="top" wrapText="1"/>
    </xf>
    <xf numFmtId="2" fontId="49" fillId="24" borderId="10" xfId="43" applyNumberFormat="1" applyFont="1" applyFill="1" applyBorder="1" applyAlignment="1" applyProtection="1">
      <alignment horizontal="left" vertical="top" wrapText="1"/>
      <protection hidden="1"/>
    </xf>
    <xf numFmtId="49" fontId="49" fillId="24" borderId="10" xfId="43" applyNumberFormat="1" applyFont="1" applyFill="1" applyBorder="1" applyAlignment="1">
      <alignment horizontal="left" vertical="top" wrapText="1"/>
    </xf>
    <xf numFmtId="0" fontId="49" fillId="24" borderId="10" xfId="0" applyNumberFormat="1" applyFont="1" applyFill="1" applyBorder="1" applyAlignment="1">
      <alignment horizontal="left" vertical="top" wrapText="1"/>
    </xf>
    <xf numFmtId="4" fontId="49" fillId="24" borderId="10" xfId="0" applyNumberFormat="1" applyFont="1" applyFill="1" applyBorder="1" applyAlignment="1">
      <alignment horizontal="left" vertical="top" wrapText="1"/>
    </xf>
    <xf numFmtId="167" fontId="49" fillId="24" borderId="10" xfId="0" applyNumberFormat="1" applyFont="1" applyFill="1" applyBorder="1" applyAlignment="1">
      <alignment horizontal="center" vertical="top"/>
    </xf>
    <xf numFmtId="166" fontId="49" fillId="24" borderId="10" xfId="43" applyNumberFormat="1" applyFont="1" applyFill="1" applyBorder="1" applyAlignment="1">
      <alignment horizontal="left" vertical="top" wrapText="1"/>
    </xf>
    <xf numFmtId="4" fontId="51" fillId="24" borderId="0" xfId="0" applyNumberFormat="1" applyFont="1" applyFill="1" applyAlignment="1">
      <alignment horizontal="center" vertical="top" wrapText="1"/>
    </xf>
    <xf numFmtId="49" fontId="49" fillId="24" borderId="16" xfId="0" applyNumberFormat="1" applyFont="1" applyFill="1" applyBorder="1" applyAlignment="1">
      <alignment horizontal="center" vertical="top" wrapText="1"/>
    </xf>
    <xf numFmtId="49" fontId="49" fillId="24" borderId="0" xfId="0" applyNumberFormat="1" applyFont="1" applyFill="1" applyBorder="1" applyAlignment="1">
      <alignment horizontal="center" vertical="top" wrapText="1"/>
    </xf>
    <xf numFmtId="0" fontId="0" fillId="24" borderId="0" xfId="0" applyFill="1" applyAlignment="1">
      <alignment vertical="top"/>
    </xf>
    <xf numFmtId="0" fontId="0" fillId="24" borderId="0" xfId="0" applyFill="1" applyAlignment="1"/>
    <xf numFmtId="0" fontId="26" fillId="24" borderId="0" xfId="0" applyFont="1" applyFill="1" applyBorder="1" applyAlignment="1">
      <alignment horizontal="right" vertical="top"/>
    </xf>
    <xf numFmtId="0" fontId="26" fillId="24" borderId="0" xfId="0" applyFont="1" applyFill="1" applyAlignment="1">
      <alignment horizontal="right" vertical="top"/>
    </xf>
    <xf numFmtId="0" fontId="27" fillId="24" borderId="0" xfId="0" applyFont="1" applyFill="1" applyBorder="1" applyAlignment="1">
      <alignment horizontal="left" vertical="top" wrapText="1"/>
    </xf>
    <xf numFmtId="0" fontId="26" fillId="24" borderId="0" xfId="0" applyFont="1" applyFill="1" applyBorder="1" applyAlignment="1">
      <alignment vertical="top"/>
    </xf>
    <xf numFmtId="0" fontId="49" fillId="24" borderId="10" xfId="0" applyFont="1" applyFill="1" applyBorder="1" applyAlignment="1">
      <alignment horizontal="center" vertical="top" wrapText="1"/>
    </xf>
    <xf numFmtId="49" fontId="49" fillId="24" borderId="10" xfId="0" applyNumberFormat="1" applyFont="1" applyFill="1" applyBorder="1" applyAlignment="1">
      <alignment horizontal="center" vertical="top" wrapText="1"/>
    </xf>
    <xf numFmtId="0" fontId="49" fillId="24" borderId="10" xfId="0" applyFont="1" applyFill="1" applyBorder="1" applyAlignment="1">
      <alignment horizontal="center" vertical="top"/>
    </xf>
    <xf numFmtId="49" fontId="49" fillId="24" borderId="10" xfId="0" applyNumberFormat="1" applyFont="1" applyFill="1" applyBorder="1" applyAlignment="1">
      <alignment horizontal="center" vertical="top" wrapText="1"/>
    </xf>
    <xf numFmtId="0" fontId="49" fillId="24" borderId="10" xfId="0" applyFont="1" applyFill="1" applyBorder="1" applyAlignment="1">
      <alignment horizontal="center" vertical="top" wrapText="1"/>
    </xf>
    <xf numFmtId="49" fontId="49" fillId="24" borderId="10" xfId="0" applyNumberFormat="1" applyFont="1" applyFill="1" applyBorder="1" applyAlignment="1">
      <alignment horizontal="center" vertical="top" wrapText="1"/>
    </xf>
    <xf numFmtId="0" fontId="49" fillId="24" borderId="10" xfId="0" applyFont="1" applyFill="1" applyBorder="1" applyAlignment="1">
      <alignment horizontal="center" vertical="top" wrapText="1"/>
    </xf>
    <xf numFmtId="0" fontId="49" fillId="24" borderId="10" xfId="0" applyFont="1" applyFill="1" applyBorder="1" applyAlignment="1">
      <alignment horizontal="center" vertical="top" wrapText="1"/>
    </xf>
    <xf numFmtId="0" fontId="49" fillId="24" borderId="10" xfId="0" applyFont="1" applyFill="1" applyBorder="1" applyAlignment="1">
      <alignment horizontal="center" vertical="top" wrapText="1"/>
    </xf>
    <xf numFmtId="49" fontId="49" fillId="24" borderId="10" xfId="0" applyNumberFormat="1" applyFont="1" applyFill="1" applyBorder="1" applyAlignment="1">
      <alignment horizontal="center" vertical="top" wrapText="1"/>
    </xf>
    <xf numFmtId="165" fontId="49" fillId="24" borderId="0" xfId="47" applyNumberFormat="1" applyFont="1" applyFill="1" applyBorder="1" applyAlignment="1">
      <alignment horizontal="center" vertical="top" wrapText="1"/>
    </xf>
    <xf numFmtId="49" fontId="27" fillId="0" borderId="0" xfId="0" applyNumberFormat="1" applyFont="1" applyFill="1" applyBorder="1" applyAlignment="1">
      <alignment horizontal="center" vertical="top"/>
    </xf>
    <xf numFmtId="168" fontId="27" fillId="0" borderId="0" xfId="0" applyNumberFormat="1" applyFont="1" applyFill="1" applyBorder="1" applyAlignment="1">
      <alignment horizontal="right"/>
    </xf>
    <xf numFmtId="165" fontId="27" fillId="24" borderId="0" xfId="47" applyNumberFormat="1" applyFont="1" applyFill="1" applyBorder="1" applyAlignment="1">
      <alignment horizontal="center" vertical="top" wrapText="1"/>
    </xf>
    <xf numFmtId="4" fontId="26" fillId="0" borderId="0" xfId="0" applyNumberFormat="1" applyFont="1" applyFill="1" applyAlignment="1">
      <alignment vertical="top"/>
    </xf>
    <xf numFmtId="0" fontId="49" fillId="24" borderId="10" xfId="0" applyFont="1" applyFill="1" applyBorder="1" applyAlignment="1">
      <alignment horizontal="center" vertical="top"/>
    </xf>
    <xf numFmtId="0" fontId="49" fillId="24" borderId="14" xfId="0" applyFont="1" applyFill="1" applyBorder="1" applyAlignment="1">
      <alignment horizontal="center" vertical="top" wrapText="1"/>
    </xf>
    <xf numFmtId="0" fontId="49" fillId="24" borderId="10" xfId="0" applyFont="1" applyFill="1" applyBorder="1" applyAlignment="1">
      <alignment horizontal="center" vertical="top" wrapText="1"/>
    </xf>
    <xf numFmtId="0" fontId="49" fillId="24" borderId="10" xfId="0" applyFont="1" applyFill="1" applyBorder="1" applyAlignment="1">
      <alignment horizontal="center" vertical="top" wrapText="1"/>
    </xf>
    <xf numFmtId="0" fontId="49" fillId="24" borderId="10" xfId="0" applyFont="1" applyFill="1" applyBorder="1" applyAlignment="1">
      <alignment horizontal="center" vertical="top"/>
    </xf>
    <xf numFmtId="170" fontId="27" fillId="24" borderId="0" xfId="0" applyNumberFormat="1" applyFont="1" applyFill="1" applyAlignment="1">
      <alignment horizontal="right" vertical="top"/>
    </xf>
    <xf numFmtId="0" fontId="49" fillId="24" borderId="10" xfId="0" applyFont="1" applyFill="1" applyBorder="1" applyAlignment="1">
      <alignment horizontal="center" vertical="top" wrapText="1"/>
    </xf>
    <xf numFmtId="49" fontId="49" fillId="24" borderId="10" xfId="0" applyNumberFormat="1" applyFont="1" applyFill="1" applyBorder="1" applyAlignment="1">
      <alignment horizontal="center" vertical="top" wrapText="1"/>
    </xf>
    <xf numFmtId="0" fontId="25" fillId="24" borderId="0" xfId="0" applyFont="1" applyFill="1" applyBorder="1" applyAlignment="1" applyProtection="1">
      <alignment horizontal="center" vertical="top" wrapText="1"/>
      <protection locked="0"/>
    </xf>
    <xf numFmtId="0" fontId="27" fillId="24" borderId="11" xfId="0" applyFont="1" applyFill="1" applyBorder="1" applyAlignment="1">
      <alignment horizontal="center" vertical="top"/>
    </xf>
    <xf numFmtId="0" fontId="49" fillId="24" borderId="10" xfId="0" applyFont="1" applyFill="1" applyBorder="1" applyAlignment="1" applyProtection="1">
      <alignment horizontal="center" vertical="top" wrapText="1"/>
      <protection locked="0"/>
    </xf>
    <xf numFmtId="0" fontId="49" fillId="24" borderId="10" xfId="0" applyFont="1" applyFill="1" applyBorder="1" applyAlignment="1" applyProtection="1">
      <alignment horizontal="center" vertical="justify" wrapText="1"/>
      <protection locked="0"/>
    </xf>
    <xf numFmtId="0" fontId="54" fillId="24" borderId="10" xfId="0" applyFont="1" applyFill="1" applyBorder="1" applyAlignment="1">
      <alignment horizontal="center" vertical="top" wrapText="1"/>
    </xf>
    <xf numFmtId="0" fontId="27" fillId="24" borderId="0" xfId="0" applyFont="1" applyFill="1" applyAlignment="1">
      <alignment horizontal="left" vertical="top"/>
    </xf>
    <xf numFmtId="0" fontId="27" fillId="24" borderId="0" xfId="0" applyFont="1" applyFill="1" applyAlignment="1">
      <alignment horizontal="left" vertical="top" wrapText="1"/>
    </xf>
    <xf numFmtId="1" fontId="49" fillId="24" borderId="10" xfId="0" applyNumberFormat="1" applyFont="1" applyFill="1" applyBorder="1" applyAlignment="1" applyProtection="1">
      <alignment horizontal="center" vertical="top" wrapText="1"/>
      <protection locked="0"/>
    </xf>
    <xf numFmtId="0" fontId="49" fillId="24" borderId="13" xfId="0" applyFont="1" applyFill="1" applyBorder="1" applyAlignment="1">
      <alignment horizontal="center" vertical="top" wrapText="1"/>
    </xf>
    <xf numFmtId="0" fontId="49" fillId="24" borderId="14" xfId="0" applyFont="1" applyFill="1" applyBorder="1" applyAlignment="1">
      <alignment horizontal="center" vertical="top" wrapText="1"/>
    </xf>
    <xf numFmtId="0" fontId="49" fillId="24" borderId="15" xfId="0" applyFont="1" applyFill="1" applyBorder="1" applyAlignment="1">
      <alignment horizontal="center" vertical="top" wrapText="1"/>
    </xf>
    <xf numFmtId="0" fontId="49" fillId="24" borderId="13" xfId="0" applyFont="1" applyFill="1" applyBorder="1" applyAlignment="1">
      <alignment horizontal="center" vertical="top"/>
    </xf>
    <xf numFmtId="0" fontId="49" fillId="24" borderId="14" xfId="0" applyFont="1" applyFill="1" applyBorder="1" applyAlignment="1">
      <alignment horizontal="center" vertical="top"/>
    </xf>
    <xf numFmtId="0" fontId="49" fillId="24" borderId="15" xfId="0" applyFont="1" applyFill="1" applyBorder="1" applyAlignment="1">
      <alignment horizontal="center" vertical="top"/>
    </xf>
    <xf numFmtId="0" fontId="49" fillId="24" borderId="10" xfId="0" applyFont="1" applyFill="1" applyBorder="1" applyAlignment="1">
      <alignment horizontal="center" vertical="top"/>
    </xf>
    <xf numFmtId="49" fontId="57" fillId="24" borderId="12" xfId="43" applyNumberFormat="1" applyFont="1" applyFill="1" applyBorder="1" applyAlignment="1" applyProtection="1">
      <alignment horizontal="left" vertical="top" wrapText="1"/>
      <protection hidden="1"/>
    </xf>
    <xf numFmtId="49" fontId="57" fillId="24" borderId="10" xfId="0" applyNumberFormat="1" applyFont="1" applyFill="1" applyBorder="1" applyAlignment="1">
      <alignment horizontal="center" vertical="top" wrapText="1"/>
    </xf>
    <xf numFmtId="49" fontId="57" fillId="24" borderId="10" xfId="0" applyNumberFormat="1" applyFont="1" applyFill="1" applyBorder="1" applyAlignment="1">
      <alignment horizontal="center" vertical="top"/>
    </xf>
    <xf numFmtId="165" fontId="58" fillId="24" borderId="10" xfId="0" applyNumberFormat="1" applyFont="1" applyFill="1" applyBorder="1" applyAlignment="1">
      <alignment horizontal="center" vertical="top"/>
    </xf>
    <xf numFmtId="49" fontId="57" fillId="24" borderId="10" xfId="43" applyNumberFormat="1" applyFont="1" applyFill="1" applyBorder="1" applyAlignment="1" applyProtection="1">
      <alignment horizontal="left" vertical="top" wrapText="1"/>
      <protection hidden="1"/>
    </xf>
    <xf numFmtId="0" fontId="57" fillId="24" borderId="10" xfId="0" applyFont="1" applyFill="1" applyBorder="1" applyAlignment="1">
      <alignment horizontal="left" vertical="top" wrapText="1"/>
    </xf>
  </cellXfs>
  <cellStyles count="1030">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66"/>
    <cellStyle name="Обычный 2 10 10" xfId="301"/>
    <cellStyle name="Обычный 2 10 10 2" xfId="765"/>
    <cellStyle name="Обычный 2 10 11" xfId="533"/>
    <cellStyle name="Обычный 2 10 12" xfId="999"/>
    <cellStyle name="Обычный 2 10 13" xfId="1025"/>
    <cellStyle name="Обычный 2 10 2" xfId="95"/>
    <cellStyle name="Обычный 2 10 2 2" xfId="327"/>
    <cellStyle name="Обычный 2 10 2 2 2" xfId="791"/>
    <cellStyle name="Обычный 2 10 2 3" xfId="559"/>
    <cellStyle name="Обычный 2 10 3" xfId="121"/>
    <cellStyle name="Обычный 2 10 3 2" xfId="353"/>
    <cellStyle name="Обычный 2 10 3 2 2" xfId="817"/>
    <cellStyle name="Обычный 2 10 3 3" xfId="585"/>
    <cellStyle name="Обычный 2 10 4" xfId="147"/>
    <cellStyle name="Обычный 2 10 4 2" xfId="379"/>
    <cellStyle name="Обычный 2 10 4 2 2" xfId="843"/>
    <cellStyle name="Обычный 2 10 4 3" xfId="611"/>
    <cellStyle name="Обычный 2 10 5" xfId="173"/>
    <cellStyle name="Обычный 2 10 5 2" xfId="405"/>
    <cellStyle name="Обычный 2 10 5 2 2" xfId="869"/>
    <cellStyle name="Обычный 2 10 5 3" xfId="637"/>
    <cellStyle name="Обычный 2 10 6" xfId="199"/>
    <cellStyle name="Обычный 2 10 6 2" xfId="431"/>
    <cellStyle name="Обычный 2 10 6 2 2" xfId="895"/>
    <cellStyle name="Обычный 2 10 6 3" xfId="663"/>
    <cellStyle name="Обычный 2 10 7" xfId="225"/>
    <cellStyle name="Обычный 2 10 7 2" xfId="457"/>
    <cellStyle name="Обычный 2 10 7 2 2" xfId="921"/>
    <cellStyle name="Обычный 2 10 7 3" xfId="689"/>
    <cellStyle name="Обычный 2 10 8" xfId="251"/>
    <cellStyle name="Обычный 2 10 8 2" xfId="483"/>
    <cellStyle name="Обычный 2 10 8 2 2" xfId="947"/>
    <cellStyle name="Обычный 2 10 8 3" xfId="715"/>
    <cellStyle name="Обычный 2 10 9" xfId="277"/>
    <cellStyle name="Обычный 2 10 9 2" xfId="509"/>
    <cellStyle name="Обычный 2 10 9 2 2" xfId="973"/>
    <cellStyle name="Обычный 2 10 9 3" xfId="741"/>
    <cellStyle name="Обычный 2 11" xfId="68"/>
    <cellStyle name="Обычный 2 11 10" xfId="303"/>
    <cellStyle name="Обычный 2 11 10 2" xfId="767"/>
    <cellStyle name="Обычный 2 11 11" xfId="535"/>
    <cellStyle name="Обычный 2 11 12" xfId="1001"/>
    <cellStyle name="Обычный 2 11 13" xfId="1027"/>
    <cellStyle name="Обычный 2 11 2" xfId="97"/>
    <cellStyle name="Обычный 2 11 2 2" xfId="329"/>
    <cellStyle name="Обычный 2 11 2 2 2" xfId="793"/>
    <cellStyle name="Обычный 2 11 2 3" xfId="561"/>
    <cellStyle name="Обычный 2 11 3" xfId="123"/>
    <cellStyle name="Обычный 2 11 3 2" xfId="355"/>
    <cellStyle name="Обычный 2 11 3 2 2" xfId="819"/>
    <cellStyle name="Обычный 2 11 3 3" xfId="587"/>
    <cellStyle name="Обычный 2 11 4" xfId="149"/>
    <cellStyle name="Обычный 2 11 4 2" xfId="381"/>
    <cellStyle name="Обычный 2 11 4 2 2" xfId="845"/>
    <cellStyle name="Обычный 2 11 4 3" xfId="613"/>
    <cellStyle name="Обычный 2 11 5" xfId="175"/>
    <cellStyle name="Обычный 2 11 5 2" xfId="407"/>
    <cellStyle name="Обычный 2 11 5 2 2" xfId="871"/>
    <cellStyle name="Обычный 2 11 5 3" xfId="639"/>
    <cellStyle name="Обычный 2 11 6" xfId="201"/>
    <cellStyle name="Обычный 2 11 6 2" xfId="433"/>
    <cellStyle name="Обычный 2 11 6 2 2" xfId="897"/>
    <cellStyle name="Обычный 2 11 6 3" xfId="665"/>
    <cellStyle name="Обычный 2 11 7" xfId="227"/>
    <cellStyle name="Обычный 2 11 7 2" xfId="459"/>
    <cellStyle name="Обычный 2 11 7 2 2" xfId="923"/>
    <cellStyle name="Обычный 2 11 7 3" xfId="691"/>
    <cellStyle name="Обычный 2 11 8" xfId="253"/>
    <cellStyle name="Обычный 2 11 8 2" xfId="485"/>
    <cellStyle name="Обычный 2 11 8 2 2" xfId="949"/>
    <cellStyle name="Обычный 2 11 8 3" xfId="717"/>
    <cellStyle name="Обычный 2 11 9" xfId="279"/>
    <cellStyle name="Обычный 2 11 9 2" xfId="511"/>
    <cellStyle name="Обычный 2 11 9 2 2" xfId="975"/>
    <cellStyle name="Обычный 2 11 9 3" xfId="743"/>
    <cellStyle name="Обычный 2 12" xfId="70"/>
    <cellStyle name="Обычный 2 12 10" xfId="305"/>
    <cellStyle name="Обычный 2 12 10 2" xfId="769"/>
    <cellStyle name="Обычный 2 12 11" xfId="537"/>
    <cellStyle name="Обычный 2 12 12" xfId="1003"/>
    <cellStyle name="Обычный 2 12 13" xfId="1029"/>
    <cellStyle name="Обычный 2 12 2" xfId="99"/>
    <cellStyle name="Обычный 2 12 2 2" xfId="331"/>
    <cellStyle name="Обычный 2 12 2 2 2" xfId="795"/>
    <cellStyle name="Обычный 2 12 2 3" xfId="563"/>
    <cellStyle name="Обычный 2 12 3" xfId="125"/>
    <cellStyle name="Обычный 2 12 3 2" xfId="357"/>
    <cellStyle name="Обычный 2 12 3 2 2" xfId="821"/>
    <cellStyle name="Обычный 2 12 3 3" xfId="589"/>
    <cellStyle name="Обычный 2 12 4" xfId="151"/>
    <cellStyle name="Обычный 2 12 4 2" xfId="383"/>
    <cellStyle name="Обычный 2 12 4 2 2" xfId="847"/>
    <cellStyle name="Обычный 2 12 4 3" xfId="615"/>
    <cellStyle name="Обычный 2 12 5" xfId="177"/>
    <cellStyle name="Обычный 2 12 5 2" xfId="409"/>
    <cellStyle name="Обычный 2 12 5 2 2" xfId="873"/>
    <cellStyle name="Обычный 2 12 5 3" xfId="641"/>
    <cellStyle name="Обычный 2 12 6" xfId="203"/>
    <cellStyle name="Обычный 2 12 6 2" xfId="435"/>
    <cellStyle name="Обычный 2 12 6 2 2" xfId="899"/>
    <cellStyle name="Обычный 2 12 6 3" xfId="667"/>
    <cellStyle name="Обычный 2 12 7" xfId="229"/>
    <cellStyle name="Обычный 2 12 7 2" xfId="461"/>
    <cellStyle name="Обычный 2 12 7 2 2" xfId="925"/>
    <cellStyle name="Обычный 2 12 7 3" xfId="693"/>
    <cellStyle name="Обычный 2 12 8" xfId="255"/>
    <cellStyle name="Обычный 2 12 8 2" xfId="487"/>
    <cellStyle name="Обычный 2 12 8 2 2" xfId="951"/>
    <cellStyle name="Обычный 2 12 8 3" xfId="719"/>
    <cellStyle name="Обычный 2 12 9" xfId="281"/>
    <cellStyle name="Обычный 2 12 9 2" xfId="513"/>
    <cellStyle name="Обычный 2 12 9 2 2" xfId="977"/>
    <cellStyle name="Обычный 2 12 9 3" xfId="745"/>
    <cellStyle name="Обычный 2 13" xfId="77"/>
    <cellStyle name="Обычный 2 13 10" xfId="541"/>
    <cellStyle name="Обычный 2 13 11" xfId="981"/>
    <cellStyle name="Обычный 2 13 12" xfId="1007"/>
    <cellStyle name="Обычный 2 13 2" xfId="103"/>
    <cellStyle name="Обычный 2 13 2 2" xfId="335"/>
    <cellStyle name="Обычный 2 13 2 2 2" xfId="799"/>
    <cellStyle name="Обычный 2 13 2 3" xfId="567"/>
    <cellStyle name="Обычный 2 13 3" xfId="129"/>
    <cellStyle name="Обычный 2 13 3 2" xfId="361"/>
    <cellStyle name="Обычный 2 13 3 2 2" xfId="825"/>
    <cellStyle name="Обычный 2 13 3 3" xfId="593"/>
    <cellStyle name="Обычный 2 13 4" xfId="155"/>
    <cellStyle name="Обычный 2 13 4 2" xfId="387"/>
    <cellStyle name="Обычный 2 13 4 2 2" xfId="851"/>
    <cellStyle name="Обычный 2 13 4 3" xfId="619"/>
    <cellStyle name="Обычный 2 13 5" xfId="181"/>
    <cellStyle name="Обычный 2 13 5 2" xfId="413"/>
    <cellStyle name="Обычный 2 13 5 2 2" xfId="877"/>
    <cellStyle name="Обычный 2 13 5 3" xfId="645"/>
    <cellStyle name="Обычный 2 13 6" xfId="207"/>
    <cellStyle name="Обычный 2 13 6 2" xfId="439"/>
    <cellStyle name="Обычный 2 13 6 2 2" xfId="903"/>
    <cellStyle name="Обычный 2 13 6 3" xfId="671"/>
    <cellStyle name="Обычный 2 13 7" xfId="233"/>
    <cellStyle name="Обычный 2 13 7 2" xfId="465"/>
    <cellStyle name="Обычный 2 13 7 2 2" xfId="929"/>
    <cellStyle name="Обычный 2 13 7 3" xfId="697"/>
    <cellStyle name="Обычный 2 13 8" xfId="259"/>
    <cellStyle name="Обычный 2 13 8 2" xfId="491"/>
    <cellStyle name="Обычный 2 13 8 2 2" xfId="955"/>
    <cellStyle name="Обычный 2 13 8 3" xfId="723"/>
    <cellStyle name="Обычный 2 13 9" xfId="309"/>
    <cellStyle name="Обычный 2 13 9 2" xfId="773"/>
    <cellStyle name="Обычный 2 14" xfId="72"/>
    <cellStyle name="Обычный 2 14 2" xfId="307"/>
    <cellStyle name="Обычный 2 14 2 2" xfId="771"/>
    <cellStyle name="Обычный 2 14 3" xfId="539"/>
    <cellStyle name="Обычный 2 15" xfId="101"/>
    <cellStyle name="Обычный 2 15 2" xfId="333"/>
    <cellStyle name="Обычный 2 15 2 2" xfId="797"/>
    <cellStyle name="Обычный 2 15 3" xfId="565"/>
    <cellStyle name="Обычный 2 16" xfId="127"/>
    <cellStyle name="Обычный 2 16 2" xfId="359"/>
    <cellStyle name="Обычный 2 16 2 2" xfId="823"/>
    <cellStyle name="Обычный 2 16 3" xfId="591"/>
    <cellStyle name="Обычный 2 17" xfId="153"/>
    <cellStyle name="Обычный 2 17 2" xfId="385"/>
    <cellStyle name="Обычный 2 17 2 2" xfId="849"/>
    <cellStyle name="Обычный 2 17 3" xfId="617"/>
    <cellStyle name="Обычный 2 18" xfId="179"/>
    <cellStyle name="Обычный 2 18 2" xfId="411"/>
    <cellStyle name="Обычный 2 18 2 2" xfId="875"/>
    <cellStyle name="Обычный 2 18 3" xfId="643"/>
    <cellStyle name="Обычный 2 19" xfId="205"/>
    <cellStyle name="Обычный 2 19 2" xfId="437"/>
    <cellStyle name="Обычный 2 19 2 2" xfId="901"/>
    <cellStyle name="Обычный 2 19 3" xfId="669"/>
    <cellStyle name="Обычный 2 2" xfId="50"/>
    <cellStyle name="Обычный 2 2 10" xfId="261"/>
    <cellStyle name="Обычный 2 2 10 2" xfId="493"/>
    <cellStyle name="Обычный 2 2 10 2 2" xfId="957"/>
    <cellStyle name="Обычный 2 2 10 3" xfId="725"/>
    <cellStyle name="Обычный 2 2 11" xfId="285"/>
    <cellStyle name="Обычный 2 2 11 2" xfId="749"/>
    <cellStyle name="Обычный 2 2 12" xfId="517"/>
    <cellStyle name="Обычный 2 2 13" xfId="983"/>
    <cellStyle name="Обычный 2 2 14" xfId="1009"/>
    <cellStyle name="Обычный 2 2 2" xfId="43"/>
    <cellStyle name="Обычный 2 2 3" xfId="79"/>
    <cellStyle name="Обычный 2 2 3 2" xfId="311"/>
    <cellStyle name="Обычный 2 2 3 2 2" xfId="775"/>
    <cellStyle name="Обычный 2 2 3 3" xfId="543"/>
    <cellStyle name="Обычный 2 2 4" xfId="105"/>
    <cellStyle name="Обычный 2 2 4 2" xfId="337"/>
    <cellStyle name="Обычный 2 2 4 2 2" xfId="801"/>
    <cellStyle name="Обычный 2 2 4 3" xfId="569"/>
    <cellStyle name="Обычный 2 2 5" xfId="131"/>
    <cellStyle name="Обычный 2 2 5 2" xfId="363"/>
    <cellStyle name="Обычный 2 2 5 2 2" xfId="827"/>
    <cellStyle name="Обычный 2 2 5 3" xfId="595"/>
    <cellStyle name="Обычный 2 2 6" xfId="157"/>
    <cellStyle name="Обычный 2 2 6 2" xfId="389"/>
    <cellStyle name="Обычный 2 2 6 2 2" xfId="853"/>
    <cellStyle name="Обычный 2 2 6 3" xfId="621"/>
    <cellStyle name="Обычный 2 2 7" xfId="183"/>
    <cellStyle name="Обычный 2 2 7 2" xfId="415"/>
    <cellStyle name="Обычный 2 2 7 2 2" xfId="879"/>
    <cellStyle name="Обычный 2 2 7 3" xfId="647"/>
    <cellStyle name="Обычный 2 2 8" xfId="209"/>
    <cellStyle name="Обычный 2 2 8 2" xfId="441"/>
    <cellStyle name="Обычный 2 2 8 2 2" xfId="905"/>
    <cellStyle name="Обычный 2 2 8 3" xfId="673"/>
    <cellStyle name="Обычный 2 2 9" xfId="235"/>
    <cellStyle name="Обычный 2 2 9 2" xfId="467"/>
    <cellStyle name="Обычный 2 2 9 2 2" xfId="931"/>
    <cellStyle name="Обычный 2 2 9 3" xfId="699"/>
    <cellStyle name="Обычный 2 20" xfId="231"/>
    <cellStyle name="Обычный 2 20 2" xfId="463"/>
    <cellStyle name="Обычный 2 20 2 2" xfId="927"/>
    <cellStyle name="Обычный 2 20 3" xfId="695"/>
    <cellStyle name="Обычный 2 21" xfId="257"/>
    <cellStyle name="Обычный 2 21 2" xfId="489"/>
    <cellStyle name="Обычный 2 21 2 2" xfId="953"/>
    <cellStyle name="Обычный 2 21 3" xfId="721"/>
    <cellStyle name="Обычный 2 22" xfId="283"/>
    <cellStyle name="Обычный 2 22 2" xfId="747"/>
    <cellStyle name="Обычный 2 23" xfId="515"/>
    <cellStyle name="Обычный 2 24" xfId="979"/>
    <cellStyle name="Обычный 2 25" xfId="1005"/>
    <cellStyle name="Обычный 2 3" xfId="52"/>
    <cellStyle name="Обычный 2 3 10" xfId="287"/>
    <cellStyle name="Обычный 2 3 10 2" xfId="751"/>
    <cellStyle name="Обычный 2 3 11" xfId="519"/>
    <cellStyle name="Обычный 2 3 12" xfId="985"/>
    <cellStyle name="Обычный 2 3 13" xfId="1011"/>
    <cellStyle name="Обычный 2 3 2" xfId="81"/>
    <cellStyle name="Обычный 2 3 2 2" xfId="313"/>
    <cellStyle name="Обычный 2 3 2 2 2" xfId="777"/>
    <cellStyle name="Обычный 2 3 2 3" xfId="545"/>
    <cellStyle name="Обычный 2 3 3" xfId="107"/>
    <cellStyle name="Обычный 2 3 3 2" xfId="339"/>
    <cellStyle name="Обычный 2 3 3 2 2" xfId="803"/>
    <cellStyle name="Обычный 2 3 3 3" xfId="571"/>
    <cellStyle name="Обычный 2 3 4" xfId="133"/>
    <cellStyle name="Обычный 2 3 4 2" xfId="365"/>
    <cellStyle name="Обычный 2 3 4 2 2" xfId="829"/>
    <cellStyle name="Обычный 2 3 4 3" xfId="597"/>
    <cellStyle name="Обычный 2 3 5" xfId="159"/>
    <cellStyle name="Обычный 2 3 5 2" xfId="391"/>
    <cellStyle name="Обычный 2 3 5 2 2" xfId="855"/>
    <cellStyle name="Обычный 2 3 5 3" xfId="623"/>
    <cellStyle name="Обычный 2 3 6" xfId="185"/>
    <cellStyle name="Обычный 2 3 6 2" xfId="417"/>
    <cellStyle name="Обычный 2 3 6 2 2" xfId="881"/>
    <cellStyle name="Обычный 2 3 6 3" xfId="649"/>
    <cellStyle name="Обычный 2 3 7" xfId="211"/>
    <cellStyle name="Обычный 2 3 7 2" xfId="443"/>
    <cellStyle name="Обычный 2 3 7 2 2" xfId="907"/>
    <cellStyle name="Обычный 2 3 7 3" xfId="675"/>
    <cellStyle name="Обычный 2 3 8" xfId="237"/>
    <cellStyle name="Обычный 2 3 8 2" xfId="469"/>
    <cellStyle name="Обычный 2 3 8 2 2" xfId="933"/>
    <cellStyle name="Обычный 2 3 8 3" xfId="701"/>
    <cellStyle name="Обычный 2 3 9" xfId="263"/>
    <cellStyle name="Обычный 2 3 9 2" xfId="495"/>
    <cellStyle name="Обычный 2 3 9 2 2" xfId="959"/>
    <cellStyle name="Обычный 2 3 9 3" xfId="727"/>
    <cellStyle name="Обычный 2 4" xfId="54"/>
    <cellStyle name="Обычный 2 4 10" xfId="289"/>
    <cellStyle name="Обычный 2 4 10 2" xfId="753"/>
    <cellStyle name="Обычный 2 4 11" xfId="521"/>
    <cellStyle name="Обычный 2 4 12" xfId="987"/>
    <cellStyle name="Обычный 2 4 13" xfId="1013"/>
    <cellStyle name="Обычный 2 4 2" xfId="83"/>
    <cellStyle name="Обычный 2 4 2 2" xfId="315"/>
    <cellStyle name="Обычный 2 4 2 2 2" xfId="779"/>
    <cellStyle name="Обычный 2 4 2 3" xfId="547"/>
    <cellStyle name="Обычный 2 4 3" xfId="109"/>
    <cellStyle name="Обычный 2 4 3 2" xfId="341"/>
    <cellStyle name="Обычный 2 4 3 2 2" xfId="805"/>
    <cellStyle name="Обычный 2 4 3 3" xfId="573"/>
    <cellStyle name="Обычный 2 4 4" xfId="135"/>
    <cellStyle name="Обычный 2 4 4 2" xfId="367"/>
    <cellStyle name="Обычный 2 4 4 2 2" xfId="831"/>
    <cellStyle name="Обычный 2 4 4 3" xfId="599"/>
    <cellStyle name="Обычный 2 4 5" xfId="161"/>
    <cellStyle name="Обычный 2 4 5 2" xfId="393"/>
    <cellStyle name="Обычный 2 4 5 2 2" xfId="857"/>
    <cellStyle name="Обычный 2 4 5 3" xfId="625"/>
    <cellStyle name="Обычный 2 4 6" xfId="187"/>
    <cellStyle name="Обычный 2 4 6 2" xfId="419"/>
    <cellStyle name="Обычный 2 4 6 2 2" xfId="883"/>
    <cellStyle name="Обычный 2 4 6 3" xfId="651"/>
    <cellStyle name="Обычный 2 4 7" xfId="213"/>
    <cellStyle name="Обычный 2 4 7 2" xfId="445"/>
    <cellStyle name="Обычный 2 4 7 2 2" xfId="909"/>
    <cellStyle name="Обычный 2 4 7 3" xfId="677"/>
    <cellStyle name="Обычный 2 4 8" xfId="239"/>
    <cellStyle name="Обычный 2 4 8 2" xfId="471"/>
    <cellStyle name="Обычный 2 4 8 2 2" xfId="935"/>
    <cellStyle name="Обычный 2 4 8 3" xfId="703"/>
    <cellStyle name="Обычный 2 4 9" xfId="265"/>
    <cellStyle name="Обычный 2 4 9 2" xfId="497"/>
    <cellStyle name="Обычный 2 4 9 2 2" xfId="961"/>
    <cellStyle name="Обычный 2 4 9 3" xfId="729"/>
    <cellStyle name="Обычный 2 5" xfId="56"/>
    <cellStyle name="Обычный 2 5 10" xfId="291"/>
    <cellStyle name="Обычный 2 5 10 2" xfId="755"/>
    <cellStyle name="Обычный 2 5 11" xfId="523"/>
    <cellStyle name="Обычный 2 5 12" xfId="989"/>
    <cellStyle name="Обычный 2 5 13" xfId="1015"/>
    <cellStyle name="Обычный 2 5 2" xfId="85"/>
    <cellStyle name="Обычный 2 5 2 2" xfId="317"/>
    <cellStyle name="Обычный 2 5 2 2 2" xfId="781"/>
    <cellStyle name="Обычный 2 5 2 3" xfId="549"/>
    <cellStyle name="Обычный 2 5 3" xfId="111"/>
    <cellStyle name="Обычный 2 5 3 2" xfId="343"/>
    <cellStyle name="Обычный 2 5 3 2 2" xfId="807"/>
    <cellStyle name="Обычный 2 5 3 3" xfId="575"/>
    <cellStyle name="Обычный 2 5 4" xfId="137"/>
    <cellStyle name="Обычный 2 5 4 2" xfId="369"/>
    <cellStyle name="Обычный 2 5 4 2 2" xfId="833"/>
    <cellStyle name="Обычный 2 5 4 3" xfId="601"/>
    <cellStyle name="Обычный 2 5 5" xfId="163"/>
    <cellStyle name="Обычный 2 5 5 2" xfId="395"/>
    <cellStyle name="Обычный 2 5 5 2 2" xfId="859"/>
    <cellStyle name="Обычный 2 5 5 3" xfId="627"/>
    <cellStyle name="Обычный 2 5 6" xfId="189"/>
    <cellStyle name="Обычный 2 5 6 2" xfId="421"/>
    <cellStyle name="Обычный 2 5 6 2 2" xfId="885"/>
    <cellStyle name="Обычный 2 5 6 3" xfId="653"/>
    <cellStyle name="Обычный 2 5 7" xfId="215"/>
    <cellStyle name="Обычный 2 5 7 2" xfId="447"/>
    <cellStyle name="Обычный 2 5 7 2 2" xfId="911"/>
    <cellStyle name="Обычный 2 5 7 3" xfId="679"/>
    <cellStyle name="Обычный 2 5 8" xfId="241"/>
    <cellStyle name="Обычный 2 5 8 2" xfId="473"/>
    <cellStyle name="Обычный 2 5 8 2 2" xfId="937"/>
    <cellStyle name="Обычный 2 5 8 3" xfId="705"/>
    <cellStyle name="Обычный 2 5 9" xfId="267"/>
    <cellStyle name="Обычный 2 5 9 2" xfId="499"/>
    <cellStyle name="Обычный 2 5 9 2 2" xfId="963"/>
    <cellStyle name="Обычный 2 5 9 3" xfId="731"/>
    <cellStyle name="Обычный 2 6" xfId="58"/>
    <cellStyle name="Обычный 2 6 10" xfId="293"/>
    <cellStyle name="Обычный 2 6 10 2" xfId="757"/>
    <cellStyle name="Обычный 2 6 11" xfId="525"/>
    <cellStyle name="Обычный 2 6 12" xfId="991"/>
    <cellStyle name="Обычный 2 6 13" xfId="1017"/>
    <cellStyle name="Обычный 2 6 2" xfId="87"/>
    <cellStyle name="Обычный 2 6 2 2" xfId="319"/>
    <cellStyle name="Обычный 2 6 2 2 2" xfId="783"/>
    <cellStyle name="Обычный 2 6 2 3" xfId="551"/>
    <cellStyle name="Обычный 2 6 3" xfId="113"/>
    <cellStyle name="Обычный 2 6 3 2" xfId="345"/>
    <cellStyle name="Обычный 2 6 3 2 2" xfId="809"/>
    <cellStyle name="Обычный 2 6 3 3" xfId="577"/>
    <cellStyle name="Обычный 2 6 4" xfId="139"/>
    <cellStyle name="Обычный 2 6 4 2" xfId="371"/>
    <cellStyle name="Обычный 2 6 4 2 2" xfId="835"/>
    <cellStyle name="Обычный 2 6 4 3" xfId="603"/>
    <cellStyle name="Обычный 2 6 5" xfId="165"/>
    <cellStyle name="Обычный 2 6 5 2" xfId="397"/>
    <cellStyle name="Обычный 2 6 5 2 2" xfId="861"/>
    <cellStyle name="Обычный 2 6 5 3" xfId="629"/>
    <cellStyle name="Обычный 2 6 6" xfId="191"/>
    <cellStyle name="Обычный 2 6 6 2" xfId="423"/>
    <cellStyle name="Обычный 2 6 6 2 2" xfId="887"/>
    <cellStyle name="Обычный 2 6 6 3" xfId="655"/>
    <cellStyle name="Обычный 2 6 7" xfId="217"/>
    <cellStyle name="Обычный 2 6 7 2" xfId="449"/>
    <cellStyle name="Обычный 2 6 7 2 2" xfId="913"/>
    <cellStyle name="Обычный 2 6 7 3" xfId="681"/>
    <cellStyle name="Обычный 2 6 8" xfId="243"/>
    <cellStyle name="Обычный 2 6 8 2" xfId="475"/>
    <cellStyle name="Обычный 2 6 8 2 2" xfId="939"/>
    <cellStyle name="Обычный 2 6 8 3" xfId="707"/>
    <cellStyle name="Обычный 2 6 9" xfId="269"/>
    <cellStyle name="Обычный 2 6 9 2" xfId="501"/>
    <cellStyle name="Обычный 2 6 9 2 2" xfId="965"/>
    <cellStyle name="Обычный 2 6 9 3" xfId="733"/>
    <cellStyle name="Обычный 2 7" xfId="60"/>
    <cellStyle name="Обычный 2 7 10" xfId="295"/>
    <cellStyle name="Обычный 2 7 10 2" xfId="759"/>
    <cellStyle name="Обычный 2 7 11" xfId="527"/>
    <cellStyle name="Обычный 2 7 12" xfId="993"/>
    <cellStyle name="Обычный 2 7 13" xfId="1019"/>
    <cellStyle name="Обычный 2 7 2" xfId="89"/>
    <cellStyle name="Обычный 2 7 2 2" xfId="321"/>
    <cellStyle name="Обычный 2 7 2 2 2" xfId="785"/>
    <cellStyle name="Обычный 2 7 2 3" xfId="553"/>
    <cellStyle name="Обычный 2 7 3" xfId="115"/>
    <cellStyle name="Обычный 2 7 3 2" xfId="347"/>
    <cellStyle name="Обычный 2 7 3 2 2" xfId="811"/>
    <cellStyle name="Обычный 2 7 3 3" xfId="579"/>
    <cellStyle name="Обычный 2 7 4" xfId="141"/>
    <cellStyle name="Обычный 2 7 4 2" xfId="373"/>
    <cellStyle name="Обычный 2 7 4 2 2" xfId="837"/>
    <cellStyle name="Обычный 2 7 4 3" xfId="605"/>
    <cellStyle name="Обычный 2 7 5" xfId="167"/>
    <cellStyle name="Обычный 2 7 5 2" xfId="399"/>
    <cellStyle name="Обычный 2 7 5 2 2" xfId="863"/>
    <cellStyle name="Обычный 2 7 5 3" xfId="631"/>
    <cellStyle name="Обычный 2 7 6" xfId="193"/>
    <cellStyle name="Обычный 2 7 6 2" xfId="425"/>
    <cellStyle name="Обычный 2 7 6 2 2" xfId="889"/>
    <cellStyle name="Обычный 2 7 6 3" xfId="657"/>
    <cellStyle name="Обычный 2 7 7" xfId="219"/>
    <cellStyle name="Обычный 2 7 7 2" xfId="451"/>
    <cellStyle name="Обычный 2 7 7 2 2" xfId="915"/>
    <cellStyle name="Обычный 2 7 7 3" xfId="683"/>
    <cellStyle name="Обычный 2 7 8" xfId="245"/>
    <cellStyle name="Обычный 2 7 8 2" xfId="477"/>
    <cellStyle name="Обычный 2 7 8 2 2" xfId="941"/>
    <cellStyle name="Обычный 2 7 8 3" xfId="709"/>
    <cellStyle name="Обычный 2 7 9" xfId="271"/>
    <cellStyle name="Обычный 2 7 9 2" xfId="503"/>
    <cellStyle name="Обычный 2 7 9 2 2" xfId="967"/>
    <cellStyle name="Обычный 2 7 9 3" xfId="735"/>
    <cellStyle name="Обычный 2 8" xfId="62"/>
    <cellStyle name="Обычный 2 8 10" xfId="297"/>
    <cellStyle name="Обычный 2 8 10 2" xfId="761"/>
    <cellStyle name="Обычный 2 8 11" xfId="529"/>
    <cellStyle name="Обычный 2 8 12" xfId="995"/>
    <cellStyle name="Обычный 2 8 13" xfId="1021"/>
    <cellStyle name="Обычный 2 8 2" xfId="91"/>
    <cellStyle name="Обычный 2 8 2 2" xfId="323"/>
    <cellStyle name="Обычный 2 8 2 2 2" xfId="787"/>
    <cellStyle name="Обычный 2 8 2 3" xfId="555"/>
    <cellStyle name="Обычный 2 8 3" xfId="117"/>
    <cellStyle name="Обычный 2 8 3 2" xfId="349"/>
    <cellStyle name="Обычный 2 8 3 2 2" xfId="813"/>
    <cellStyle name="Обычный 2 8 3 3" xfId="581"/>
    <cellStyle name="Обычный 2 8 4" xfId="143"/>
    <cellStyle name="Обычный 2 8 4 2" xfId="375"/>
    <cellStyle name="Обычный 2 8 4 2 2" xfId="839"/>
    <cellStyle name="Обычный 2 8 4 3" xfId="607"/>
    <cellStyle name="Обычный 2 8 5" xfId="169"/>
    <cellStyle name="Обычный 2 8 5 2" xfId="401"/>
    <cellStyle name="Обычный 2 8 5 2 2" xfId="865"/>
    <cellStyle name="Обычный 2 8 5 3" xfId="633"/>
    <cellStyle name="Обычный 2 8 6" xfId="195"/>
    <cellStyle name="Обычный 2 8 6 2" xfId="427"/>
    <cellStyle name="Обычный 2 8 6 2 2" xfId="891"/>
    <cellStyle name="Обычный 2 8 6 3" xfId="659"/>
    <cellStyle name="Обычный 2 8 7" xfId="221"/>
    <cellStyle name="Обычный 2 8 7 2" xfId="453"/>
    <cellStyle name="Обычный 2 8 7 2 2" xfId="917"/>
    <cellStyle name="Обычный 2 8 7 3" xfId="685"/>
    <cellStyle name="Обычный 2 8 8" xfId="247"/>
    <cellStyle name="Обычный 2 8 8 2" xfId="479"/>
    <cellStyle name="Обычный 2 8 8 2 2" xfId="943"/>
    <cellStyle name="Обычный 2 8 8 3" xfId="711"/>
    <cellStyle name="Обычный 2 8 9" xfId="273"/>
    <cellStyle name="Обычный 2 8 9 2" xfId="505"/>
    <cellStyle name="Обычный 2 8 9 2 2" xfId="969"/>
    <cellStyle name="Обычный 2 8 9 3" xfId="737"/>
    <cellStyle name="Обычный 2 9" xfId="64"/>
    <cellStyle name="Обычный 2 9 10" xfId="299"/>
    <cellStyle name="Обычный 2 9 10 2" xfId="763"/>
    <cellStyle name="Обычный 2 9 11" xfId="531"/>
    <cellStyle name="Обычный 2 9 12" xfId="997"/>
    <cellStyle name="Обычный 2 9 13" xfId="1023"/>
    <cellStyle name="Обычный 2 9 2" xfId="93"/>
    <cellStyle name="Обычный 2 9 2 2" xfId="325"/>
    <cellStyle name="Обычный 2 9 2 2 2" xfId="789"/>
    <cellStyle name="Обычный 2 9 2 3" xfId="557"/>
    <cellStyle name="Обычный 2 9 3" xfId="119"/>
    <cellStyle name="Обычный 2 9 3 2" xfId="351"/>
    <cellStyle name="Обычный 2 9 3 2 2" xfId="815"/>
    <cellStyle name="Обычный 2 9 3 3" xfId="583"/>
    <cellStyle name="Обычный 2 9 4" xfId="145"/>
    <cellStyle name="Обычный 2 9 4 2" xfId="377"/>
    <cellStyle name="Обычный 2 9 4 2 2" xfId="841"/>
    <cellStyle name="Обычный 2 9 4 3" xfId="609"/>
    <cellStyle name="Обычный 2 9 5" xfId="171"/>
    <cellStyle name="Обычный 2 9 5 2" xfId="403"/>
    <cellStyle name="Обычный 2 9 5 2 2" xfId="867"/>
    <cellStyle name="Обычный 2 9 5 3" xfId="635"/>
    <cellStyle name="Обычный 2 9 6" xfId="197"/>
    <cellStyle name="Обычный 2 9 6 2" xfId="429"/>
    <cellStyle name="Обычный 2 9 6 2 2" xfId="893"/>
    <cellStyle name="Обычный 2 9 6 3" xfId="661"/>
    <cellStyle name="Обычный 2 9 7" xfId="223"/>
    <cellStyle name="Обычный 2 9 7 2" xfId="455"/>
    <cellStyle name="Обычный 2 9 7 2 2" xfId="919"/>
    <cellStyle name="Обычный 2 9 7 3" xfId="687"/>
    <cellStyle name="Обычный 2 9 8" xfId="249"/>
    <cellStyle name="Обычный 2 9 8 2" xfId="481"/>
    <cellStyle name="Обычный 2 9 8 2 2" xfId="945"/>
    <cellStyle name="Обычный 2 9 8 3" xfId="713"/>
    <cellStyle name="Обычный 2 9 9" xfId="275"/>
    <cellStyle name="Обычный 2 9 9 2" xfId="507"/>
    <cellStyle name="Обычный 2 9 9 2 2" xfId="971"/>
    <cellStyle name="Обычный 2 9 9 3" xfId="739"/>
    <cellStyle name="Обычный 3" xfId="44"/>
    <cellStyle name="Обычный 3 10" xfId="65"/>
    <cellStyle name="Обычный 3 10 10" xfId="300"/>
    <cellStyle name="Обычный 3 10 10 2" xfId="764"/>
    <cellStyle name="Обычный 3 10 11" xfId="532"/>
    <cellStyle name="Обычный 3 10 12" xfId="998"/>
    <cellStyle name="Обычный 3 10 13" xfId="1024"/>
    <cellStyle name="Обычный 3 10 2" xfId="94"/>
    <cellStyle name="Обычный 3 10 2 2" xfId="326"/>
    <cellStyle name="Обычный 3 10 2 2 2" xfId="790"/>
    <cellStyle name="Обычный 3 10 2 3" xfId="558"/>
    <cellStyle name="Обычный 3 10 3" xfId="120"/>
    <cellStyle name="Обычный 3 10 3 2" xfId="352"/>
    <cellStyle name="Обычный 3 10 3 2 2" xfId="816"/>
    <cellStyle name="Обычный 3 10 3 3" xfId="584"/>
    <cellStyle name="Обычный 3 10 4" xfId="146"/>
    <cellStyle name="Обычный 3 10 4 2" xfId="378"/>
    <cellStyle name="Обычный 3 10 4 2 2" xfId="842"/>
    <cellStyle name="Обычный 3 10 4 3" xfId="610"/>
    <cellStyle name="Обычный 3 10 5" xfId="172"/>
    <cellStyle name="Обычный 3 10 5 2" xfId="404"/>
    <cellStyle name="Обычный 3 10 5 2 2" xfId="868"/>
    <cellStyle name="Обычный 3 10 5 3" xfId="636"/>
    <cellStyle name="Обычный 3 10 6" xfId="198"/>
    <cellStyle name="Обычный 3 10 6 2" xfId="430"/>
    <cellStyle name="Обычный 3 10 6 2 2" xfId="894"/>
    <cellStyle name="Обычный 3 10 6 3" xfId="662"/>
    <cellStyle name="Обычный 3 10 7" xfId="224"/>
    <cellStyle name="Обычный 3 10 7 2" xfId="456"/>
    <cellStyle name="Обычный 3 10 7 2 2" xfId="920"/>
    <cellStyle name="Обычный 3 10 7 3" xfId="688"/>
    <cellStyle name="Обычный 3 10 8" xfId="250"/>
    <cellStyle name="Обычный 3 10 8 2" xfId="482"/>
    <cellStyle name="Обычный 3 10 8 2 2" xfId="946"/>
    <cellStyle name="Обычный 3 10 8 3" xfId="714"/>
    <cellStyle name="Обычный 3 10 9" xfId="276"/>
    <cellStyle name="Обычный 3 10 9 2" xfId="508"/>
    <cellStyle name="Обычный 3 10 9 2 2" xfId="972"/>
    <cellStyle name="Обычный 3 10 9 3" xfId="740"/>
    <cellStyle name="Обычный 3 11" xfId="67"/>
    <cellStyle name="Обычный 3 11 10" xfId="302"/>
    <cellStyle name="Обычный 3 11 10 2" xfId="766"/>
    <cellStyle name="Обычный 3 11 11" xfId="534"/>
    <cellStyle name="Обычный 3 11 12" xfId="1000"/>
    <cellStyle name="Обычный 3 11 13" xfId="1026"/>
    <cellStyle name="Обычный 3 11 2" xfId="96"/>
    <cellStyle name="Обычный 3 11 2 2" xfId="328"/>
    <cellStyle name="Обычный 3 11 2 2 2" xfId="792"/>
    <cellStyle name="Обычный 3 11 2 3" xfId="560"/>
    <cellStyle name="Обычный 3 11 3" xfId="122"/>
    <cellStyle name="Обычный 3 11 3 2" xfId="354"/>
    <cellStyle name="Обычный 3 11 3 2 2" xfId="818"/>
    <cellStyle name="Обычный 3 11 3 3" xfId="586"/>
    <cellStyle name="Обычный 3 11 4" xfId="148"/>
    <cellStyle name="Обычный 3 11 4 2" xfId="380"/>
    <cellStyle name="Обычный 3 11 4 2 2" xfId="844"/>
    <cellStyle name="Обычный 3 11 4 3" xfId="612"/>
    <cellStyle name="Обычный 3 11 5" xfId="174"/>
    <cellStyle name="Обычный 3 11 5 2" xfId="406"/>
    <cellStyle name="Обычный 3 11 5 2 2" xfId="870"/>
    <cellStyle name="Обычный 3 11 5 3" xfId="638"/>
    <cellStyle name="Обычный 3 11 6" xfId="200"/>
    <cellStyle name="Обычный 3 11 6 2" xfId="432"/>
    <cellStyle name="Обычный 3 11 6 2 2" xfId="896"/>
    <cellStyle name="Обычный 3 11 6 3" xfId="664"/>
    <cellStyle name="Обычный 3 11 7" xfId="226"/>
    <cellStyle name="Обычный 3 11 7 2" xfId="458"/>
    <cellStyle name="Обычный 3 11 7 2 2" xfId="922"/>
    <cellStyle name="Обычный 3 11 7 3" xfId="690"/>
    <cellStyle name="Обычный 3 11 8" xfId="252"/>
    <cellStyle name="Обычный 3 11 8 2" xfId="484"/>
    <cellStyle name="Обычный 3 11 8 2 2" xfId="948"/>
    <cellStyle name="Обычный 3 11 8 3" xfId="716"/>
    <cellStyle name="Обычный 3 11 9" xfId="278"/>
    <cellStyle name="Обычный 3 11 9 2" xfId="510"/>
    <cellStyle name="Обычный 3 11 9 2 2" xfId="974"/>
    <cellStyle name="Обычный 3 11 9 3" xfId="742"/>
    <cellStyle name="Обычный 3 12" xfId="69"/>
    <cellStyle name="Обычный 3 12 10" xfId="304"/>
    <cellStyle name="Обычный 3 12 10 2" xfId="768"/>
    <cellStyle name="Обычный 3 12 11" xfId="536"/>
    <cellStyle name="Обычный 3 12 12" xfId="1002"/>
    <cellStyle name="Обычный 3 12 13" xfId="1028"/>
    <cellStyle name="Обычный 3 12 2" xfId="98"/>
    <cellStyle name="Обычный 3 12 2 2" xfId="330"/>
    <cellStyle name="Обычный 3 12 2 2 2" xfId="794"/>
    <cellStyle name="Обычный 3 12 2 3" xfId="562"/>
    <cellStyle name="Обычный 3 12 3" xfId="124"/>
    <cellStyle name="Обычный 3 12 3 2" xfId="356"/>
    <cellStyle name="Обычный 3 12 3 2 2" xfId="820"/>
    <cellStyle name="Обычный 3 12 3 3" xfId="588"/>
    <cellStyle name="Обычный 3 12 4" xfId="150"/>
    <cellStyle name="Обычный 3 12 4 2" xfId="382"/>
    <cellStyle name="Обычный 3 12 4 2 2" xfId="846"/>
    <cellStyle name="Обычный 3 12 4 3" xfId="614"/>
    <cellStyle name="Обычный 3 12 5" xfId="176"/>
    <cellStyle name="Обычный 3 12 5 2" xfId="408"/>
    <cellStyle name="Обычный 3 12 5 2 2" xfId="872"/>
    <cellStyle name="Обычный 3 12 5 3" xfId="640"/>
    <cellStyle name="Обычный 3 12 6" xfId="202"/>
    <cellStyle name="Обычный 3 12 6 2" xfId="434"/>
    <cellStyle name="Обычный 3 12 6 2 2" xfId="898"/>
    <cellStyle name="Обычный 3 12 6 3" xfId="666"/>
    <cellStyle name="Обычный 3 12 7" xfId="228"/>
    <cellStyle name="Обычный 3 12 7 2" xfId="460"/>
    <cellStyle name="Обычный 3 12 7 2 2" xfId="924"/>
    <cellStyle name="Обычный 3 12 7 3" xfId="692"/>
    <cellStyle name="Обычный 3 12 8" xfId="254"/>
    <cellStyle name="Обычный 3 12 8 2" xfId="486"/>
    <cellStyle name="Обычный 3 12 8 2 2" xfId="950"/>
    <cellStyle name="Обычный 3 12 8 3" xfId="718"/>
    <cellStyle name="Обычный 3 12 9" xfId="280"/>
    <cellStyle name="Обычный 3 12 9 2" xfId="512"/>
    <cellStyle name="Обычный 3 12 9 2 2" xfId="976"/>
    <cellStyle name="Обычный 3 12 9 3" xfId="744"/>
    <cellStyle name="Обычный 3 13" xfId="75"/>
    <cellStyle name="Обычный 3 13 10" xfId="540"/>
    <cellStyle name="Обычный 3 13 11" xfId="980"/>
    <cellStyle name="Обычный 3 13 12" xfId="1006"/>
    <cellStyle name="Обычный 3 13 2" xfId="102"/>
    <cellStyle name="Обычный 3 13 2 2" xfId="334"/>
    <cellStyle name="Обычный 3 13 2 2 2" xfId="798"/>
    <cellStyle name="Обычный 3 13 2 3" xfId="566"/>
    <cellStyle name="Обычный 3 13 3" xfId="128"/>
    <cellStyle name="Обычный 3 13 3 2" xfId="360"/>
    <cellStyle name="Обычный 3 13 3 2 2" xfId="824"/>
    <cellStyle name="Обычный 3 13 3 3" xfId="592"/>
    <cellStyle name="Обычный 3 13 4" xfId="154"/>
    <cellStyle name="Обычный 3 13 4 2" xfId="386"/>
    <cellStyle name="Обычный 3 13 4 2 2" xfId="850"/>
    <cellStyle name="Обычный 3 13 4 3" xfId="618"/>
    <cellStyle name="Обычный 3 13 5" xfId="180"/>
    <cellStyle name="Обычный 3 13 5 2" xfId="412"/>
    <cellStyle name="Обычный 3 13 5 2 2" xfId="876"/>
    <cellStyle name="Обычный 3 13 5 3" xfId="644"/>
    <cellStyle name="Обычный 3 13 6" xfId="206"/>
    <cellStyle name="Обычный 3 13 6 2" xfId="438"/>
    <cellStyle name="Обычный 3 13 6 2 2" xfId="902"/>
    <cellStyle name="Обычный 3 13 6 3" xfId="670"/>
    <cellStyle name="Обычный 3 13 7" xfId="232"/>
    <cellStyle name="Обычный 3 13 7 2" xfId="464"/>
    <cellStyle name="Обычный 3 13 7 2 2" xfId="928"/>
    <cellStyle name="Обычный 3 13 7 3" xfId="696"/>
    <cellStyle name="Обычный 3 13 8" xfId="258"/>
    <cellStyle name="Обычный 3 13 8 2" xfId="490"/>
    <cellStyle name="Обычный 3 13 8 2 2" xfId="954"/>
    <cellStyle name="Обычный 3 13 8 3" xfId="722"/>
    <cellStyle name="Обычный 3 13 9" xfId="308"/>
    <cellStyle name="Обычный 3 13 9 2" xfId="772"/>
    <cellStyle name="Обычный 3 14" xfId="71"/>
    <cellStyle name="Обычный 3 14 2" xfId="306"/>
    <cellStyle name="Обычный 3 14 2 2" xfId="770"/>
    <cellStyle name="Обычный 3 14 3" xfId="538"/>
    <cellStyle name="Обычный 3 15" xfId="100"/>
    <cellStyle name="Обычный 3 15 2" xfId="332"/>
    <cellStyle name="Обычный 3 15 2 2" xfId="796"/>
    <cellStyle name="Обычный 3 15 3" xfId="564"/>
    <cellStyle name="Обычный 3 16" xfId="126"/>
    <cellStyle name="Обычный 3 16 2" xfId="358"/>
    <cellStyle name="Обычный 3 16 2 2" xfId="822"/>
    <cellStyle name="Обычный 3 16 3" xfId="590"/>
    <cellStyle name="Обычный 3 17" xfId="152"/>
    <cellStyle name="Обычный 3 17 2" xfId="384"/>
    <cellStyle name="Обычный 3 17 2 2" xfId="848"/>
    <cellStyle name="Обычный 3 17 3" xfId="616"/>
    <cellStyle name="Обычный 3 18" xfId="178"/>
    <cellStyle name="Обычный 3 18 2" xfId="410"/>
    <cellStyle name="Обычный 3 18 2 2" xfId="874"/>
    <cellStyle name="Обычный 3 18 3" xfId="642"/>
    <cellStyle name="Обычный 3 19" xfId="204"/>
    <cellStyle name="Обычный 3 19 2" xfId="436"/>
    <cellStyle name="Обычный 3 19 2 2" xfId="900"/>
    <cellStyle name="Обычный 3 19 3" xfId="668"/>
    <cellStyle name="Обычный 3 2" xfId="48"/>
    <cellStyle name="Обычный 3 2 10" xfId="284"/>
    <cellStyle name="Обычный 3 2 10 2" xfId="748"/>
    <cellStyle name="Обычный 3 2 11" xfId="516"/>
    <cellStyle name="Обычный 3 2 12" xfId="982"/>
    <cellStyle name="Обычный 3 2 13" xfId="1008"/>
    <cellStyle name="Обычный 3 2 2" xfId="78"/>
    <cellStyle name="Обычный 3 2 2 2" xfId="310"/>
    <cellStyle name="Обычный 3 2 2 2 2" xfId="774"/>
    <cellStyle name="Обычный 3 2 2 3" xfId="542"/>
    <cellStyle name="Обычный 3 2 3" xfId="104"/>
    <cellStyle name="Обычный 3 2 3 2" xfId="336"/>
    <cellStyle name="Обычный 3 2 3 2 2" xfId="800"/>
    <cellStyle name="Обычный 3 2 3 3" xfId="568"/>
    <cellStyle name="Обычный 3 2 4" xfId="130"/>
    <cellStyle name="Обычный 3 2 4 2" xfId="362"/>
    <cellStyle name="Обычный 3 2 4 2 2" xfId="826"/>
    <cellStyle name="Обычный 3 2 4 3" xfId="594"/>
    <cellStyle name="Обычный 3 2 5" xfId="156"/>
    <cellStyle name="Обычный 3 2 5 2" xfId="388"/>
    <cellStyle name="Обычный 3 2 5 2 2" xfId="852"/>
    <cellStyle name="Обычный 3 2 5 3" xfId="620"/>
    <cellStyle name="Обычный 3 2 6" xfId="182"/>
    <cellStyle name="Обычный 3 2 6 2" xfId="414"/>
    <cellStyle name="Обычный 3 2 6 2 2" xfId="878"/>
    <cellStyle name="Обычный 3 2 6 3" xfId="646"/>
    <cellStyle name="Обычный 3 2 7" xfId="208"/>
    <cellStyle name="Обычный 3 2 7 2" xfId="440"/>
    <cellStyle name="Обычный 3 2 7 2 2" xfId="904"/>
    <cellStyle name="Обычный 3 2 7 3" xfId="672"/>
    <cellStyle name="Обычный 3 2 8" xfId="234"/>
    <cellStyle name="Обычный 3 2 8 2" xfId="466"/>
    <cellStyle name="Обычный 3 2 8 2 2" xfId="930"/>
    <cellStyle name="Обычный 3 2 8 3" xfId="698"/>
    <cellStyle name="Обычный 3 2 9" xfId="260"/>
    <cellStyle name="Обычный 3 2 9 2" xfId="492"/>
    <cellStyle name="Обычный 3 2 9 2 2" xfId="956"/>
    <cellStyle name="Обычный 3 2 9 3" xfId="724"/>
    <cellStyle name="Обычный 3 20" xfId="230"/>
    <cellStyle name="Обычный 3 20 2" xfId="462"/>
    <cellStyle name="Обычный 3 20 2 2" xfId="926"/>
    <cellStyle name="Обычный 3 20 3" xfId="694"/>
    <cellStyle name="Обычный 3 21" xfId="256"/>
    <cellStyle name="Обычный 3 21 2" xfId="488"/>
    <cellStyle name="Обычный 3 21 2 2" xfId="952"/>
    <cellStyle name="Обычный 3 21 3" xfId="720"/>
    <cellStyle name="Обычный 3 22" xfId="282"/>
    <cellStyle name="Обычный 3 22 2" xfId="746"/>
    <cellStyle name="Обычный 3 23" xfId="514"/>
    <cellStyle name="Обычный 3 24" xfId="978"/>
    <cellStyle name="Обычный 3 25" xfId="1004"/>
    <cellStyle name="Обычный 3 3" xfId="51"/>
    <cellStyle name="Обычный 3 3 10" xfId="286"/>
    <cellStyle name="Обычный 3 3 10 2" xfId="750"/>
    <cellStyle name="Обычный 3 3 11" xfId="518"/>
    <cellStyle name="Обычный 3 3 12" xfId="984"/>
    <cellStyle name="Обычный 3 3 13" xfId="1010"/>
    <cellStyle name="Обычный 3 3 2" xfId="80"/>
    <cellStyle name="Обычный 3 3 2 2" xfId="312"/>
    <cellStyle name="Обычный 3 3 2 2 2" xfId="776"/>
    <cellStyle name="Обычный 3 3 2 3" xfId="544"/>
    <cellStyle name="Обычный 3 3 3" xfId="106"/>
    <cellStyle name="Обычный 3 3 3 2" xfId="338"/>
    <cellStyle name="Обычный 3 3 3 2 2" xfId="802"/>
    <cellStyle name="Обычный 3 3 3 3" xfId="570"/>
    <cellStyle name="Обычный 3 3 4" xfId="132"/>
    <cellStyle name="Обычный 3 3 4 2" xfId="364"/>
    <cellStyle name="Обычный 3 3 4 2 2" xfId="828"/>
    <cellStyle name="Обычный 3 3 4 3" xfId="596"/>
    <cellStyle name="Обычный 3 3 5" xfId="158"/>
    <cellStyle name="Обычный 3 3 5 2" xfId="390"/>
    <cellStyle name="Обычный 3 3 5 2 2" xfId="854"/>
    <cellStyle name="Обычный 3 3 5 3" xfId="622"/>
    <cellStyle name="Обычный 3 3 6" xfId="184"/>
    <cellStyle name="Обычный 3 3 6 2" xfId="416"/>
    <cellStyle name="Обычный 3 3 6 2 2" xfId="880"/>
    <cellStyle name="Обычный 3 3 6 3" xfId="648"/>
    <cellStyle name="Обычный 3 3 7" xfId="210"/>
    <cellStyle name="Обычный 3 3 7 2" xfId="442"/>
    <cellStyle name="Обычный 3 3 7 2 2" xfId="906"/>
    <cellStyle name="Обычный 3 3 7 3" xfId="674"/>
    <cellStyle name="Обычный 3 3 8" xfId="236"/>
    <cellStyle name="Обычный 3 3 8 2" xfId="468"/>
    <cellStyle name="Обычный 3 3 8 2 2" xfId="932"/>
    <cellStyle name="Обычный 3 3 8 3" xfId="700"/>
    <cellStyle name="Обычный 3 3 9" xfId="262"/>
    <cellStyle name="Обычный 3 3 9 2" xfId="494"/>
    <cellStyle name="Обычный 3 3 9 2 2" xfId="958"/>
    <cellStyle name="Обычный 3 3 9 3" xfId="726"/>
    <cellStyle name="Обычный 3 4" xfId="53"/>
    <cellStyle name="Обычный 3 4 10" xfId="288"/>
    <cellStyle name="Обычный 3 4 10 2" xfId="752"/>
    <cellStyle name="Обычный 3 4 11" xfId="520"/>
    <cellStyle name="Обычный 3 4 12" xfId="986"/>
    <cellStyle name="Обычный 3 4 13" xfId="1012"/>
    <cellStyle name="Обычный 3 4 2" xfId="82"/>
    <cellStyle name="Обычный 3 4 2 2" xfId="314"/>
    <cellStyle name="Обычный 3 4 2 2 2" xfId="778"/>
    <cellStyle name="Обычный 3 4 2 3" xfId="546"/>
    <cellStyle name="Обычный 3 4 3" xfId="108"/>
    <cellStyle name="Обычный 3 4 3 2" xfId="340"/>
    <cellStyle name="Обычный 3 4 3 2 2" xfId="804"/>
    <cellStyle name="Обычный 3 4 3 3" xfId="572"/>
    <cellStyle name="Обычный 3 4 4" xfId="134"/>
    <cellStyle name="Обычный 3 4 4 2" xfId="366"/>
    <cellStyle name="Обычный 3 4 4 2 2" xfId="830"/>
    <cellStyle name="Обычный 3 4 4 3" xfId="598"/>
    <cellStyle name="Обычный 3 4 5" xfId="160"/>
    <cellStyle name="Обычный 3 4 5 2" xfId="392"/>
    <cellStyle name="Обычный 3 4 5 2 2" xfId="856"/>
    <cellStyle name="Обычный 3 4 5 3" xfId="624"/>
    <cellStyle name="Обычный 3 4 6" xfId="186"/>
    <cellStyle name="Обычный 3 4 6 2" xfId="418"/>
    <cellStyle name="Обычный 3 4 6 2 2" xfId="882"/>
    <cellStyle name="Обычный 3 4 6 3" xfId="650"/>
    <cellStyle name="Обычный 3 4 7" xfId="212"/>
    <cellStyle name="Обычный 3 4 7 2" xfId="444"/>
    <cellStyle name="Обычный 3 4 7 2 2" xfId="908"/>
    <cellStyle name="Обычный 3 4 7 3" xfId="676"/>
    <cellStyle name="Обычный 3 4 8" xfId="238"/>
    <cellStyle name="Обычный 3 4 8 2" xfId="470"/>
    <cellStyle name="Обычный 3 4 8 2 2" xfId="934"/>
    <cellStyle name="Обычный 3 4 8 3" xfId="702"/>
    <cellStyle name="Обычный 3 4 9" xfId="264"/>
    <cellStyle name="Обычный 3 4 9 2" xfId="496"/>
    <cellStyle name="Обычный 3 4 9 2 2" xfId="960"/>
    <cellStyle name="Обычный 3 4 9 3" xfId="728"/>
    <cellStyle name="Обычный 3 5" xfId="55"/>
    <cellStyle name="Обычный 3 5 10" xfId="290"/>
    <cellStyle name="Обычный 3 5 10 2" xfId="754"/>
    <cellStyle name="Обычный 3 5 11" xfId="522"/>
    <cellStyle name="Обычный 3 5 12" xfId="988"/>
    <cellStyle name="Обычный 3 5 13" xfId="1014"/>
    <cellStyle name="Обычный 3 5 2" xfId="84"/>
    <cellStyle name="Обычный 3 5 2 2" xfId="316"/>
    <cellStyle name="Обычный 3 5 2 2 2" xfId="780"/>
    <cellStyle name="Обычный 3 5 2 3" xfId="548"/>
    <cellStyle name="Обычный 3 5 3" xfId="110"/>
    <cellStyle name="Обычный 3 5 3 2" xfId="342"/>
    <cellStyle name="Обычный 3 5 3 2 2" xfId="806"/>
    <cellStyle name="Обычный 3 5 3 3" xfId="574"/>
    <cellStyle name="Обычный 3 5 4" xfId="136"/>
    <cellStyle name="Обычный 3 5 4 2" xfId="368"/>
    <cellStyle name="Обычный 3 5 4 2 2" xfId="832"/>
    <cellStyle name="Обычный 3 5 4 3" xfId="600"/>
    <cellStyle name="Обычный 3 5 5" xfId="162"/>
    <cellStyle name="Обычный 3 5 5 2" xfId="394"/>
    <cellStyle name="Обычный 3 5 5 2 2" xfId="858"/>
    <cellStyle name="Обычный 3 5 5 3" xfId="626"/>
    <cellStyle name="Обычный 3 5 6" xfId="188"/>
    <cellStyle name="Обычный 3 5 6 2" xfId="420"/>
    <cellStyle name="Обычный 3 5 6 2 2" xfId="884"/>
    <cellStyle name="Обычный 3 5 6 3" xfId="652"/>
    <cellStyle name="Обычный 3 5 7" xfId="214"/>
    <cellStyle name="Обычный 3 5 7 2" xfId="446"/>
    <cellStyle name="Обычный 3 5 7 2 2" xfId="910"/>
    <cellStyle name="Обычный 3 5 7 3" xfId="678"/>
    <cellStyle name="Обычный 3 5 8" xfId="240"/>
    <cellStyle name="Обычный 3 5 8 2" xfId="472"/>
    <cellStyle name="Обычный 3 5 8 2 2" xfId="936"/>
    <cellStyle name="Обычный 3 5 8 3" xfId="704"/>
    <cellStyle name="Обычный 3 5 9" xfId="266"/>
    <cellStyle name="Обычный 3 5 9 2" xfId="498"/>
    <cellStyle name="Обычный 3 5 9 2 2" xfId="962"/>
    <cellStyle name="Обычный 3 5 9 3" xfId="730"/>
    <cellStyle name="Обычный 3 6" xfId="57"/>
    <cellStyle name="Обычный 3 6 10" xfId="292"/>
    <cellStyle name="Обычный 3 6 10 2" xfId="756"/>
    <cellStyle name="Обычный 3 6 11" xfId="524"/>
    <cellStyle name="Обычный 3 6 12" xfId="990"/>
    <cellStyle name="Обычный 3 6 13" xfId="1016"/>
    <cellStyle name="Обычный 3 6 2" xfId="86"/>
    <cellStyle name="Обычный 3 6 2 2" xfId="318"/>
    <cellStyle name="Обычный 3 6 2 2 2" xfId="782"/>
    <cellStyle name="Обычный 3 6 2 3" xfId="550"/>
    <cellStyle name="Обычный 3 6 3" xfId="112"/>
    <cellStyle name="Обычный 3 6 3 2" xfId="344"/>
    <cellStyle name="Обычный 3 6 3 2 2" xfId="808"/>
    <cellStyle name="Обычный 3 6 3 3" xfId="576"/>
    <cellStyle name="Обычный 3 6 4" xfId="138"/>
    <cellStyle name="Обычный 3 6 4 2" xfId="370"/>
    <cellStyle name="Обычный 3 6 4 2 2" xfId="834"/>
    <cellStyle name="Обычный 3 6 4 3" xfId="602"/>
    <cellStyle name="Обычный 3 6 5" xfId="164"/>
    <cellStyle name="Обычный 3 6 5 2" xfId="396"/>
    <cellStyle name="Обычный 3 6 5 2 2" xfId="860"/>
    <cellStyle name="Обычный 3 6 5 3" xfId="628"/>
    <cellStyle name="Обычный 3 6 6" xfId="190"/>
    <cellStyle name="Обычный 3 6 6 2" xfId="422"/>
    <cellStyle name="Обычный 3 6 6 2 2" xfId="886"/>
    <cellStyle name="Обычный 3 6 6 3" xfId="654"/>
    <cellStyle name="Обычный 3 6 7" xfId="216"/>
    <cellStyle name="Обычный 3 6 7 2" xfId="448"/>
    <cellStyle name="Обычный 3 6 7 2 2" xfId="912"/>
    <cellStyle name="Обычный 3 6 7 3" xfId="680"/>
    <cellStyle name="Обычный 3 6 8" xfId="242"/>
    <cellStyle name="Обычный 3 6 8 2" xfId="474"/>
    <cellStyle name="Обычный 3 6 8 2 2" xfId="938"/>
    <cellStyle name="Обычный 3 6 8 3" xfId="706"/>
    <cellStyle name="Обычный 3 6 9" xfId="268"/>
    <cellStyle name="Обычный 3 6 9 2" xfId="500"/>
    <cellStyle name="Обычный 3 6 9 2 2" xfId="964"/>
    <cellStyle name="Обычный 3 6 9 3" xfId="732"/>
    <cellStyle name="Обычный 3 7" xfId="59"/>
    <cellStyle name="Обычный 3 7 10" xfId="294"/>
    <cellStyle name="Обычный 3 7 10 2" xfId="758"/>
    <cellStyle name="Обычный 3 7 11" xfId="526"/>
    <cellStyle name="Обычный 3 7 12" xfId="992"/>
    <cellStyle name="Обычный 3 7 13" xfId="1018"/>
    <cellStyle name="Обычный 3 7 2" xfId="88"/>
    <cellStyle name="Обычный 3 7 2 2" xfId="320"/>
    <cellStyle name="Обычный 3 7 2 2 2" xfId="784"/>
    <cellStyle name="Обычный 3 7 2 3" xfId="552"/>
    <cellStyle name="Обычный 3 7 3" xfId="114"/>
    <cellStyle name="Обычный 3 7 3 2" xfId="346"/>
    <cellStyle name="Обычный 3 7 3 2 2" xfId="810"/>
    <cellStyle name="Обычный 3 7 3 3" xfId="578"/>
    <cellStyle name="Обычный 3 7 4" xfId="140"/>
    <cellStyle name="Обычный 3 7 4 2" xfId="372"/>
    <cellStyle name="Обычный 3 7 4 2 2" xfId="836"/>
    <cellStyle name="Обычный 3 7 4 3" xfId="604"/>
    <cellStyle name="Обычный 3 7 5" xfId="166"/>
    <cellStyle name="Обычный 3 7 5 2" xfId="398"/>
    <cellStyle name="Обычный 3 7 5 2 2" xfId="862"/>
    <cellStyle name="Обычный 3 7 5 3" xfId="630"/>
    <cellStyle name="Обычный 3 7 6" xfId="192"/>
    <cellStyle name="Обычный 3 7 6 2" xfId="424"/>
    <cellStyle name="Обычный 3 7 6 2 2" xfId="888"/>
    <cellStyle name="Обычный 3 7 6 3" xfId="656"/>
    <cellStyle name="Обычный 3 7 7" xfId="218"/>
    <cellStyle name="Обычный 3 7 7 2" xfId="450"/>
    <cellStyle name="Обычный 3 7 7 2 2" xfId="914"/>
    <cellStyle name="Обычный 3 7 7 3" xfId="682"/>
    <cellStyle name="Обычный 3 7 8" xfId="244"/>
    <cellStyle name="Обычный 3 7 8 2" xfId="476"/>
    <cellStyle name="Обычный 3 7 8 2 2" xfId="940"/>
    <cellStyle name="Обычный 3 7 8 3" xfId="708"/>
    <cellStyle name="Обычный 3 7 9" xfId="270"/>
    <cellStyle name="Обычный 3 7 9 2" xfId="502"/>
    <cellStyle name="Обычный 3 7 9 2 2" xfId="966"/>
    <cellStyle name="Обычный 3 7 9 3" xfId="734"/>
    <cellStyle name="Обычный 3 8" xfId="61"/>
    <cellStyle name="Обычный 3 8 10" xfId="296"/>
    <cellStyle name="Обычный 3 8 10 2" xfId="760"/>
    <cellStyle name="Обычный 3 8 11" xfId="528"/>
    <cellStyle name="Обычный 3 8 12" xfId="994"/>
    <cellStyle name="Обычный 3 8 13" xfId="1020"/>
    <cellStyle name="Обычный 3 8 2" xfId="90"/>
    <cellStyle name="Обычный 3 8 2 2" xfId="322"/>
    <cellStyle name="Обычный 3 8 2 2 2" xfId="786"/>
    <cellStyle name="Обычный 3 8 2 3" xfId="554"/>
    <cellStyle name="Обычный 3 8 3" xfId="116"/>
    <cellStyle name="Обычный 3 8 3 2" xfId="348"/>
    <cellStyle name="Обычный 3 8 3 2 2" xfId="812"/>
    <cellStyle name="Обычный 3 8 3 3" xfId="580"/>
    <cellStyle name="Обычный 3 8 4" xfId="142"/>
    <cellStyle name="Обычный 3 8 4 2" xfId="374"/>
    <cellStyle name="Обычный 3 8 4 2 2" xfId="838"/>
    <cellStyle name="Обычный 3 8 4 3" xfId="606"/>
    <cellStyle name="Обычный 3 8 5" xfId="168"/>
    <cellStyle name="Обычный 3 8 5 2" xfId="400"/>
    <cellStyle name="Обычный 3 8 5 2 2" xfId="864"/>
    <cellStyle name="Обычный 3 8 5 3" xfId="632"/>
    <cellStyle name="Обычный 3 8 6" xfId="194"/>
    <cellStyle name="Обычный 3 8 6 2" xfId="426"/>
    <cellStyle name="Обычный 3 8 6 2 2" xfId="890"/>
    <cellStyle name="Обычный 3 8 6 3" xfId="658"/>
    <cellStyle name="Обычный 3 8 7" xfId="220"/>
    <cellStyle name="Обычный 3 8 7 2" xfId="452"/>
    <cellStyle name="Обычный 3 8 7 2 2" xfId="916"/>
    <cellStyle name="Обычный 3 8 7 3" xfId="684"/>
    <cellStyle name="Обычный 3 8 8" xfId="246"/>
    <cellStyle name="Обычный 3 8 8 2" xfId="478"/>
    <cellStyle name="Обычный 3 8 8 2 2" xfId="942"/>
    <cellStyle name="Обычный 3 8 8 3" xfId="710"/>
    <cellStyle name="Обычный 3 8 9" xfId="272"/>
    <cellStyle name="Обычный 3 8 9 2" xfId="504"/>
    <cellStyle name="Обычный 3 8 9 2 2" xfId="968"/>
    <cellStyle name="Обычный 3 8 9 3" xfId="736"/>
    <cellStyle name="Обычный 3 9" xfId="63"/>
    <cellStyle name="Обычный 3 9 10" xfId="298"/>
    <cellStyle name="Обычный 3 9 10 2" xfId="762"/>
    <cellStyle name="Обычный 3 9 11" xfId="530"/>
    <cellStyle name="Обычный 3 9 12" xfId="996"/>
    <cellStyle name="Обычный 3 9 13" xfId="1022"/>
    <cellStyle name="Обычный 3 9 2" xfId="92"/>
    <cellStyle name="Обычный 3 9 2 2" xfId="324"/>
    <cellStyle name="Обычный 3 9 2 2 2" xfId="788"/>
    <cellStyle name="Обычный 3 9 2 3" xfId="556"/>
    <cellStyle name="Обычный 3 9 3" xfId="118"/>
    <cellStyle name="Обычный 3 9 3 2" xfId="350"/>
    <cellStyle name="Обычный 3 9 3 2 2" xfId="814"/>
    <cellStyle name="Обычный 3 9 3 3" xfId="582"/>
    <cellStyle name="Обычный 3 9 4" xfId="144"/>
    <cellStyle name="Обычный 3 9 4 2" xfId="376"/>
    <cellStyle name="Обычный 3 9 4 2 2" xfId="840"/>
    <cellStyle name="Обычный 3 9 4 3" xfId="608"/>
    <cellStyle name="Обычный 3 9 5" xfId="170"/>
    <cellStyle name="Обычный 3 9 5 2" xfId="402"/>
    <cellStyle name="Обычный 3 9 5 2 2" xfId="866"/>
    <cellStyle name="Обычный 3 9 5 3" xfId="634"/>
    <cellStyle name="Обычный 3 9 6" xfId="196"/>
    <cellStyle name="Обычный 3 9 6 2" xfId="428"/>
    <cellStyle name="Обычный 3 9 6 2 2" xfId="892"/>
    <cellStyle name="Обычный 3 9 6 3" xfId="660"/>
    <cellStyle name="Обычный 3 9 7" xfId="222"/>
    <cellStyle name="Обычный 3 9 7 2" xfId="454"/>
    <cellStyle name="Обычный 3 9 7 2 2" xfId="918"/>
    <cellStyle name="Обычный 3 9 7 3" xfId="686"/>
    <cellStyle name="Обычный 3 9 8" xfId="248"/>
    <cellStyle name="Обычный 3 9 8 2" xfId="480"/>
    <cellStyle name="Обычный 3 9 8 2 2" xfId="944"/>
    <cellStyle name="Обычный 3 9 8 3" xfId="712"/>
    <cellStyle name="Обычный 3 9 9" xfId="274"/>
    <cellStyle name="Обычный 3 9 9 2" xfId="506"/>
    <cellStyle name="Обычный 3 9 9 2 2" xfId="970"/>
    <cellStyle name="Обычный 3 9 9 3" xfId="73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49"/>
    <cellStyle name="Процентный 2 3" xfId="76"/>
    <cellStyle name="Связанная ячейка" xfId="39" builtinId="24" customBuiltin="1"/>
    <cellStyle name="Текст предупреждения" xfId="40" builtinId="11" customBuiltin="1"/>
    <cellStyle name="Финансовый 2" xfId="41"/>
    <cellStyle name="Финансовый 2 2" xfId="47"/>
    <cellStyle name="Финансовый 2 3" xfId="74"/>
    <cellStyle name="Финансовый 3" xfId="7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114300</xdr:colOff>
      <xdr:row>7</xdr:row>
      <xdr:rowOff>9525</xdr:rowOff>
    </xdr:from>
    <xdr:to>
      <xdr:col>10</xdr:col>
      <xdr:colOff>813435</xdr:colOff>
      <xdr:row>16</xdr:row>
      <xdr:rowOff>175260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24600" y="1556385"/>
          <a:ext cx="2611755" cy="149161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mn-lt"/>
              <a:ea typeface="+mn-ea"/>
              <a:cs typeface="+mn-cs"/>
            </a:rPr>
            <a:t>«</a:t>
          </a:r>
          <a:r>
            <a:rPr lang="ru-RU" sz="1400" b="0" i="0" u="none" strike="noStrike" baseline="0">
              <a:solidFill>
                <a:srgbClr val="000000"/>
              </a:solidFill>
              <a:latin typeface="Times New Roman"/>
              <a:cs typeface="Times New Roman"/>
            </a:rPr>
            <a:t>Приложение 11</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4</xdr:col>
      <xdr:colOff>121919</xdr:colOff>
      <xdr:row>7</xdr:row>
      <xdr:rowOff>0</xdr:rowOff>
    </xdr:from>
    <xdr:to>
      <xdr:col>11</xdr:col>
      <xdr:colOff>0</xdr:colOff>
      <xdr:row>7</xdr:row>
      <xdr:rowOff>7620</xdr:rowOff>
    </xdr:to>
    <xdr:sp macro="" textlink="">
      <xdr:nvSpPr>
        <xdr:cNvPr id="5" name="Text Box 2"/>
        <xdr:cNvSpPr txBox="1">
          <a:spLocks noChangeArrowheads="1"/>
        </xdr:cNvSpPr>
      </xdr:nvSpPr>
      <xdr:spPr bwMode="auto">
        <a:xfrm>
          <a:off x="6332219" y="0"/>
          <a:ext cx="2585085" cy="133350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Приложение 4</a:t>
          </a:r>
          <a:r>
            <a:rPr kumimoji="0" lang="ru-RU" sz="1400" b="0" i="0" u="none" strike="noStrike" kern="0" cap="none" spc="0" normalizeH="0" baseline="0" noProof="0">
              <a:ln>
                <a:noFill/>
              </a:ln>
              <a:solidFill>
                <a:srgbClr val="000000"/>
              </a:solidFill>
              <a:effectLst/>
              <a:uLnTx/>
              <a:uFillTx/>
              <a:latin typeface="Times New Roman"/>
              <a:cs typeface="Times New Roman"/>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4</xdr:col>
      <xdr:colOff>144780</xdr:colOff>
      <xdr:row>0</xdr:row>
      <xdr:rowOff>0</xdr:rowOff>
    </xdr:from>
    <xdr:to>
      <xdr:col>11</xdr:col>
      <xdr:colOff>85725</xdr:colOff>
      <xdr:row>6</xdr:row>
      <xdr:rowOff>152400</xdr:rowOff>
    </xdr:to>
    <xdr:sp macro="" textlink="">
      <xdr:nvSpPr>
        <xdr:cNvPr id="4" name="Text Box 2"/>
        <xdr:cNvSpPr txBox="1">
          <a:spLocks noChangeArrowheads="1"/>
        </xdr:cNvSpPr>
      </xdr:nvSpPr>
      <xdr:spPr bwMode="auto">
        <a:xfrm>
          <a:off x="6355080" y="0"/>
          <a:ext cx="2882265" cy="147828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9</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29.08.2025  № 282</a:t>
          </a:r>
          <a:endParaRPr lang="ru-RU" sz="1400">
            <a:effectLst/>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S1904"/>
  <sheetViews>
    <sheetView showGridLines="0" tabSelected="1" view="pageBreakPreview" topLeftCell="A1217" zoomScale="90" zoomScaleNormal="90" zoomScaleSheetLayoutView="90" workbookViewId="0">
      <selection activeCell="B1219" sqref="B1219"/>
    </sheetView>
  </sheetViews>
  <sheetFormatPr defaultColWidth="9.109375" defaultRowHeight="17.399999999999999" x14ac:dyDescent="0.25"/>
  <cols>
    <col min="1" max="1" width="4.6640625" style="15" customWidth="1"/>
    <col min="2" max="2" width="77" style="12" customWidth="1"/>
    <col min="3" max="3" width="4.5546875" style="13" customWidth="1"/>
    <col min="4" max="4" width="4.33203125" style="14" customWidth="1"/>
    <col min="5" max="5" width="6" style="14" customWidth="1"/>
    <col min="6" max="6" width="3.33203125" style="14" customWidth="1"/>
    <col min="7" max="7" width="3.33203125" style="13" customWidth="1"/>
    <col min="8" max="8" width="5.33203125" style="14" customWidth="1"/>
    <col min="9" max="9" width="7.33203125" style="14" customWidth="1"/>
    <col min="10" max="10" width="4.5546875" style="14" customWidth="1"/>
    <col min="11" max="11" width="15" style="4" customWidth="1"/>
    <col min="12" max="12" width="24.33203125" style="15" customWidth="1"/>
    <col min="13" max="13" width="13.33203125" style="15" customWidth="1"/>
    <col min="14" max="14" width="6" style="15" customWidth="1"/>
    <col min="15" max="15" width="17.5546875" style="15" customWidth="1"/>
    <col min="16" max="16" width="5.6640625" style="15" customWidth="1"/>
    <col min="17" max="17" width="5.44140625" style="15" customWidth="1"/>
    <col min="18" max="18" width="0.5546875" style="15" customWidth="1"/>
    <col min="19" max="19" width="4.33203125" style="15" customWidth="1"/>
    <col min="20" max="16384" width="9.109375" style="15"/>
  </cols>
  <sheetData>
    <row r="14" hidden="1" x14ac:dyDescent="0.25"/>
    <row r="15" hidden="1" x14ac:dyDescent="0.25"/>
    <row r="16" hidden="1" x14ac:dyDescent="0.25"/>
    <row r="18" spans="1:15" x14ac:dyDescent="0.25">
      <c r="A18" s="95" t="s">
        <v>159</v>
      </c>
      <c r="B18" s="95"/>
      <c r="C18" s="95"/>
      <c r="D18" s="95"/>
      <c r="E18" s="95"/>
      <c r="F18" s="95"/>
      <c r="G18" s="95"/>
      <c r="H18" s="95"/>
      <c r="I18" s="95"/>
      <c r="J18" s="95"/>
      <c r="K18" s="95"/>
    </row>
    <row r="19" spans="1:15" x14ac:dyDescent="0.25">
      <c r="A19" s="95" t="s">
        <v>225</v>
      </c>
      <c r="B19" s="95"/>
      <c r="C19" s="95"/>
      <c r="D19" s="95"/>
      <c r="E19" s="95"/>
      <c r="F19" s="95"/>
      <c r="G19" s="95"/>
      <c r="H19" s="95"/>
      <c r="I19" s="95"/>
      <c r="J19" s="95"/>
      <c r="K19" s="95"/>
    </row>
    <row r="20" spans="1:15" x14ac:dyDescent="0.25">
      <c r="A20" s="95" t="s">
        <v>481</v>
      </c>
      <c r="B20" s="95"/>
      <c r="C20" s="95"/>
      <c r="D20" s="95"/>
      <c r="E20" s="95"/>
      <c r="F20" s="95"/>
      <c r="G20" s="95"/>
      <c r="H20" s="95"/>
      <c r="I20" s="95"/>
      <c r="J20" s="95"/>
      <c r="K20" s="95"/>
      <c r="L20" s="16"/>
    </row>
    <row r="21" spans="1:15" ht="18" x14ac:dyDescent="0.25">
      <c r="A21" s="17"/>
      <c r="B21" s="18"/>
      <c r="C21" s="19"/>
      <c r="D21" s="20"/>
      <c r="E21" s="20"/>
      <c r="F21" s="21"/>
      <c r="G21" s="22"/>
      <c r="H21" s="21"/>
      <c r="I21" s="21"/>
      <c r="J21" s="21"/>
    </row>
    <row r="22" spans="1:15" ht="18" x14ac:dyDescent="0.25">
      <c r="A22" s="23"/>
      <c r="B22" s="24"/>
      <c r="C22" s="23"/>
      <c r="D22" s="23"/>
      <c r="E22" s="23"/>
      <c r="F22" s="25"/>
      <c r="G22" s="23"/>
      <c r="H22" s="25"/>
      <c r="I22" s="25"/>
      <c r="J22" s="96" t="s">
        <v>74</v>
      </c>
      <c r="K22" s="96"/>
    </row>
    <row r="23" spans="1:15" x14ac:dyDescent="0.25">
      <c r="A23" s="97" t="s">
        <v>0</v>
      </c>
      <c r="B23" s="98" t="s">
        <v>38</v>
      </c>
      <c r="C23" s="97" t="s">
        <v>37</v>
      </c>
      <c r="D23" s="97" t="s">
        <v>36</v>
      </c>
      <c r="E23" s="97"/>
      <c r="F23" s="97"/>
      <c r="G23" s="97"/>
      <c r="H23" s="97"/>
      <c r="I23" s="97"/>
      <c r="J23" s="97"/>
      <c r="K23" s="99" t="s">
        <v>158</v>
      </c>
      <c r="O23" s="26"/>
    </row>
    <row r="24" spans="1:15" x14ac:dyDescent="0.25">
      <c r="A24" s="97"/>
      <c r="B24" s="98"/>
      <c r="C24" s="97"/>
      <c r="D24" s="27" t="s">
        <v>32</v>
      </c>
      <c r="E24" s="27" t="s">
        <v>33</v>
      </c>
      <c r="F24" s="97" t="s">
        <v>34</v>
      </c>
      <c r="G24" s="97"/>
      <c r="H24" s="97"/>
      <c r="I24" s="97"/>
      <c r="J24" s="27" t="s">
        <v>35</v>
      </c>
      <c r="K24" s="99"/>
    </row>
    <row r="25" spans="1:15" x14ac:dyDescent="0.25">
      <c r="A25" s="28">
        <v>1</v>
      </c>
      <c r="B25" s="29">
        <v>2</v>
      </c>
      <c r="C25" s="28">
        <v>3</v>
      </c>
      <c r="D25" s="28">
        <v>4</v>
      </c>
      <c r="E25" s="28">
        <v>5</v>
      </c>
      <c r="F25" s="28">
        <v>6</v>
      </c>
      <c r="G25" s="28">
        <v>7</v>
      </c>
      <c r="H25" s="28">
        <v>8</v>
      </c>
      <c r="I25" s="28">
        <v>9</v>
      </c>
      <c r="J25" s="28">
        <v>10</v>
      </c>
      <c r="K25" s="5">
        <v>11</v>
      </c>
    </row>
    <row r="26" spans="1:15" x14ac:dyDescent="0.25">
      <c r="A26" s="28"/>
      <c r="B26" s="30" t="s">
        <v>39</v>
      </c>
      <c r="C26" s="28"/>
      <c r="D26" s="28"/>
      <c r="E26" s="28"/>
      <c r="F26" s="27"/>
      <c r="G26" s="28"/>
      <c r="H26" s="27"/>
      <c r="I26" s="27"/>
      <c r="J26" s="28"/>
      <c r="K26" s="6">
        <f>SUM(K27+K37+K358+K402+K436+K543+K599+K648+K740+K979+K1180+K1261+K1380+K1431+K1317)</f>
        <v>19062855.769999996</v>
      </c>
      <c r="L26" s="31">
        <v>19026153.569999997</v>
      </c>
      <c r="M26" s="32">
        <f>K26-L26</f>
        <v>36702.199999999255</v>
      </c>
      <c r="N26" s="33"/>
      <c r="O26" s="31"/>
    </row>
    <row r="27" spans="1:15" ht="31.2" x14ac:dyDescent="0.25">
      <c r="A27" s="34">
        <v>1</v>
      </c>
      <c r="B27" s="35" t="s">
        <v>323</v>
      </c>
      <c r="C27" s="27">
        <v>901</v>
      </c>
      <c r="D27" s="36"/>
      <c r="E27" s="36"/>
      <c r="F27" s="27"/>
      <c r="G27" s="36"/>
      <c r="H27" s="27"/>
      <c r="I27" s="27"/>
      <c r="J27" s="36"/>
      <c r="K27" s="6">
        <f t="shared" ref="K27:K30" si="0">SUM(K28)</f>
        <v>1864.3</v>
      </c>
      <c r="M27" s="16"/>
    </row>
    <row r="28" spans="1:15" x14ac:dyDescent="0.25">
      <c r="A28" s="102"/>
      <c r="B28" s="1" t="s">
        <v>1</v>
      </c>
      <c r="C28" s="27">
        <v>901</v>
      </c>
      <c r="D28" s="27" t="s">
        <v>2</v>
      </c>
      <c r="E28" s="27"/>
      <c r="F28" s="27"/>
      <c r="G28" s="27"/>
      <c r="H28" s="27"/>
      <c r="I28" s="27"/>
      <c r="J28" s="27"/>
      <c r="K28" s="6">
        <f t="shared" si="0"/>
        <v>1864.3</v>
      </c>
      <c r="M28" s="16"/>
    </row>
    <row r="29" spans="1:15" ht="46.8" x14ac:dyDescent="0.25">
      <c r="A29" s="102"/>
      <c r="B29" s="1" t="s">
        <v>127</v>
      </c>
      <c r="C29" s="2">
        <v>901</v>
      </c>
      <c r="D29" s="37" t="s">
        <v>2</v>
      </c>
      <c r="E29" s="37" t="s">
        <v>5</v>
      </c>
      <c r="F29" s="37"/>
      <c r="G29" s="38"/>
      <c r="H29" s="37"/>
      <c r="I29" s="37"/>
      <c r="J29" s="37"/>
      <c r="K29" s="6">
        <f t="shared" si="0"/>
        <v>1864.3</v>
      </c>
      <c r="M29" s="16"/>
    </row>
    <row r="30" spans="1:15" ht="18.75" customHeight="1" x14ac:dyDescent="0.25">
      <c r="A30" s="102"/>
      <c r="B30" s="1" t="s">
        <v>63</v>
      </c>
      <c r="C30" s="2">
        <v>901</v>
      </c>
      <c r="D30" s="37" t="s">
        <v>2</v>
      </c>
      <c r="E30" s="37" t="s">
        <v>5</v>
      </c>
      <c r="F30" s="37">
        <v>51</v>
      </c>
      <c r="G30" s="38"/>
      <c r="H30" s="37"/>
      <c r="I30" s="37"/>
      <c r="J30" s="37"/>
      <c r="K30" s="6">
        <f t="shared" si="0"/>
        <v>1864.3</v>
      </c>
      <c r="M30" s="16"/>
    </row>
    <row r="31" spans="1:15" x14ac:dyDescent="0.25">
      <c r="A31" s="102"/>
      <c r="B31" s="1" t="s">
        <v>79</v>
      </c>
      <c r="C31" s="2">
        <v>901</v>
      </c>
      <c r="D31" s="37" t="s">
        <v>2</v>
      </c>
      <c r="E31" s="37" t="s">
        <v>5</v>
      </c>
      <c r="F31" s="37">
        <v>51</v>
      </c>
      <c r="G31" s="38">
        <v>1</v>
      </c>
      <c r="H31" s="37"/>
      <c r="I31" s="37"/>
      <c r="J31" s="37"/>
      <c r="K31" s="6">
        <f>SUM(K32+K35)</f>
        <v>1864.3</v>
      </c>
    </row>
    <row r="32" spans="1:15" x14ac:dyDescent="0.25">
      <c r="A32" s="102"/>
      <c r="B32" s="1" t="s">
        <v>47</v>
      </c>
      <c r="C32" s="2">
        <v>901</v>
      </c>
      <c r="D32" s="37" t="s">
        <v>2</v>
      </c>
      <c r="E32" s="37" t="s">
        <v>5</v>
      </c>
      <c r="F32" s="37">
        <v>51</v>
      </c>
      <c r="G32" s="38">
        <v>1</v>
      </c>
      <c r="H32" s="37" t="s">
        <v>77</v>
      </c>
      <c r="I32" s="37" t="s">
        <v>78</v>
      </c>
      <c r="J32" s="37"/>
      <c r="K32" s="6">
        <f>SUM(K33+K34)</f>
        <v>1864.3</v>
      </c>
    </row>
    <row r="33" spans="1:11" s="26" customFormat="1" ht="50.25" customHeight="1" x14ac:dyDescent="0.25">
      <c r="A33" s="102"/>
      <c r="B33" s="1" t="s">
        <v>122</v>
      </c>
      <c r="C33" s="2">
        <v>901</v>
      </c>
      <c r="D33" s="37" t="s">
        <v>2</v>
      </c>
      <c r="E33" s="37" t="s">
        <v>5</v>
      </c>
      <c r="F33" s="37">
        <v>51</v>
      </c>
      <c r="G33" s="38">
        <v>1</v>
      </c>
      <c r="H33" s="37" t="s">
        <v>77</v>
      </c>
      <c r="I33" s="37" t="s">
        <v>78</v>
      </c>
      <c r="J33" s="37" t="s">
        <v>48</v>
      </c>
      <c r="K33" s="6">
        <v>1800</v>
      </c>
    </row>
    <row r="34" spans="1:11" s="26" customFormat="1" ht="31.2" x14ac:dyDescent="0.25">
      <c r="A34" s="102"/>
      <c r="B34" s="1" t="s">
        <v>123</v>
      </c>
      <c r="C34" s="2">
        <v>901</v>
      </c>
      <c r="D34" s="37" t="s">
        <v>2</v>
      </c>
      <c r="E34" s="37" t="s">
        <v>5</v>
      </c>
      <c r="F34" s="37">
        <v>51</v>
      </c>
      <c r="G34" s="38">
        <v>1</v>
      </c>
      <c r="H34" s="37" t="s">
        <v>77</v>
      </c>
      <c r="I34" s="37" t="s">
        <v>78</v>
      </c>
      <c r="J34" s="37" t="s">
        <v>49</v>
      </c>
      <c r="K34" s="6">
        <v>64.3</v>
      </c>
    </row>
    <row r="35" spans="1:11" s="26" customFormat="1" ht="62.4" x14ac:dyDescent="0.25">
      <c r="A35" s="34"/>
      <c r="B35" s="1" t="s">
        <v>316</v>
      </c>
      <c r="C35" s="2">
        <v>901</v>
      </c>
      <c r="D35" s="37" t="s">
        <v>2</v>
      </c>
      <c r="E35" s="37" t="s">
        <v>5</v>
      </c>
      <c r="F35" s="37">
        <v>51</v>
      </c>
      <c r="G35" s="38">
        <v>1</v>
      </c>
      <c r="H35" s="37" t="s">
        <v>77</v>
      </c>
      <c r="I35" s="37" t="s">
        <v>317</v>
      </c>
      <c r="J35" s="37"/>
      <c r="K35" s="6">
        <f>K36</f>
        <v>0</v>
      </c>
    </row>
    <row r="36" spans="1:11" s="26" customFormat="1" ht="31.2" x14ac:dyDescent="0.25">
      <c r="A36" s="34"/>
      <c r="B36" s="1" t="s">
        <v>123</v>
      </c>
      <c r="C36" s="2">
        <v>901</v>
      </c>
      <c r="D36" s="37" t="s">
        <v>2</v>
      </c>
      <c r="E36" s="37" t="s">
        <v>5</v>
      </c>
      <c r="F36" s="37">
        <v>51</v>
      </c>
      <c r="G36" s="38">
        <v>1</v>
      </c>
      <c r="H36" s="37" t="s">
        <v>77</v>
      </c>
      <c r="I36" s="37" t="s">
        <v>317</v>
      </c>
      <c r="J36" s="37" t="s">
        <v>49</v>
      </c>
      <c r="K36" s="6"/>
    </row>
    <row r="37" spans="1:11" s="26" customFormat="1" ht="46.8" x14ac:dyDescent="0.25">
      <c r="A37" s="103">
        <v>2</v>
      </c>
      <c r="B37" s="1" t="s">
        <v>324</v>
      </c>
      <c r="C37" s="2">
        <v>902</v>
      </c>
      <c r="D37" s="39"/>
      <c r="E37" s="39"/>
      <c r="F37" s="39"/>
      <c r="G37" s="2"/>
      <c r="H37" s="39"/>
      <c r="I37" s="39"/>
      <c r="J37" s="39"/>
      <c r="K37" s="6">
        <f>SUM(K38+K168+K199+K301+K260+K313+K321+K186+K292)</f>
        <v>12735317.899999997</v>
      </c>
    </row>
    <row r="38" spans="1:11" s="26" customFormat="1" x14ac:dyDescent="0.25">
      <c r="A38" s="104"/>
      <c r="B38" s="1" t="s">
        <v>1</v>
      </c>
      <c r="C38" s="2">
        <v>902</v>
      </c>
      <c r="D38" s="39" t="s">
        <v>2</v>
      </c>
      <c r="E38" s="37"/>
      <c r="F38" s="37"/>
      <c r="G38" s="38"/>
      <c r="H38" s="37"/>
      <c r="I38" s="37"/>
      <c r="J38" s="37"/>
      <c r="K38" s="6">
        <f>SUM(K39+K44+K81+K71+K76)</f>
        <v>626702.29999999993</v>
      </c>
    </row>
    <row r="39" spans="1:11" s="26" customFormat="1" ht="31.2" x14ac:dyDescent="0.25">
      <c r="A39" s="104"/>
      <c r="B39" s="1" t="s">
        <v>3</v>
      </c>
      <c r="C39" s="2">
        <v>902</v>
      </c>
      <c r="D39" s="37" t="s">
        <v>2</v>
      </c>
      <c r="E39" s="37" t="s">
        <v>4</v>
      </c>
      <c r="F39" s="37"/>
      <c r="G39" s="38"/>
      <c r="H39" s="37"/>
      <c r="I39" s="37"/>
      <c r="J39" s="37"/>
      <c r="K39" s="6">
        <f t="shared" ref="K39:K41" si="1">SUM(K40)</f>
        <v>4066.6</v>
      </c>
    </row>
    <row r="40" spans="1:11" s="26" customFormat="1" ht="46.8" x14ac:dyDescent="0.25">
      <c r="A40" s="104"/>
      <c r="B40" s="1" t="s">
        <v>325</v>
      </c>
      <c r="C40" s="2">
        <v>902</v>
      </c>
      <c r="D40" s="37" t="s">
        <v>2</v>
      </c>
      <c r="E40" s="37" t="s">
        <v>4</v>
      </c>
      <c r="F40" s="37">
        <v>50</v>
      </c>
      <c r="G40" s="38"/>
      <c r="H40" s="37"/>
      <c r="I40" s="37"/>
      <c r="J40" s="37"/>
      <c r="K40" s="6">
        <f t="shared" si="1"/>
        <v>4066.6</v>
      </c>
    </row>
    <row r="41" spans="1:11" s="26" customFormat="1" ht="31.2" x14ac:dyDescent="0.25">
      <c r="A41" s="104"/>
      <c r="B41" s="1" t="s">
        <v>326</v>
      </c>
      <c r="C41" s="2">
        <v>902</v>
      </c>
      <c r="D41" s="37" t="s">
        <v>2</v>
      </c>
      <c r="E41" s="37" t="s">
        <v>4</v>
      </c>
      <c r="F41" s="37">
        <v>50</v>
      </c>
      <c r="G41" s="38">
        <v>1</v>
      </c>
      <c r="H41" s="37"/>
      <c r="I41" s="37"/>
      <c r="J41" s="37"/>
      <c r="K41" s="6">
        <f t="shared" si="1"/>
        <v>4066.6</v>
      </c>
    </row>
    <row r="42" spans="1:11" s="26" customFormat="1" x14ac:dyDescent="0.25">
      <c r="A42" s="104"/>
      <c r="B42" s="1" t="s">
        <v>47</v>
      </c>
      <c r="C42" s="2">
        <v>902</v>
      </c>
      <c r="D42" s="37" t="s">
        <v>2</v>
      </c>
      <c r="E42" s="37" t="s">
        <v>4</v>
      </c>
      <c r="F42" s="37">
        <v>50</v>
      </c>
      <c r="G42" s="38">
        <v>1</v>
      </c>
      <c r="H42" s="37" t="s">
        <v>77</v>
      </c>
      <c r="I42" s="37" t="s">
        <v>78</v>
      </c>
      <c r="J42" s="37"/>
      <c r="K42" s="6">
        <f>SUM(K43:K43)</f>
        <v>4066.6</v>
      </c>
    </row>
    <row r="43" spans="1:11" s="26" customFormat="1" ht="51" customHeight="1" x14ac:dyDescent="0.25">
      <c r="A43" s="104"/>
      <c r="B43" s="1" t="s">
        <v>122</v>
      </c>
      <c r="C43" s="2">
        <v>902</v>
      </c>
      <c r="D43" s="37" t="s">
        <v>2</v>
      </c>
      <c r="E43" s="37" t="s">
        <v>4</v>
      </c>
      <c r="F43" s="37">
        <v>50</v>
      </c>
      <c r="G43" s="38">
        <v>1</v>
      </c>
      <c r="H43" s="37" t="s">
        <v>77</v>
      </c>
      <c r="I43" s="37" t="s">
        <v>78</v>
      </c>
      <c r="J43" s="37" t="s">
        <v>48</v>
      </c>
      <c r="K43" s="6">
        <v>4066.6</v>
      </c>
    </row>
    <row r="44" spans="1:11" s="26" customFormat="1" ht="46.8" x14ac:dyDescent="0.25">
      <c r="A44" s="104"/>
      <c r="B44" s="1" t="s">
        <v>46</v>
      </c>
      <c r="C44" s="2">
        <v>902</v>
      </c>
      <c r="D44" s="37" t="s">
        <v>2</v>
      </c>
      <c r="E44" s="37" t="s">
        <v>6</v>
      </c>
      <c r="F44" s="37"/>
      <c r="G44" s="38"/>
      <c r="H44" s="37"/>
      <c r="I44" s="37"/>
      <c r="J44" s="37"/>
      <c r="K44" s="6">
        <f>K45+K50</f>
        <v>211487.9</v>
      </c>
    </row>
    <row r="45" spans="1:11" s="26" customFormat="1" x14ac:dyDescent="0.25">
      <c r="A45" s="104"/>
      <c r="B45" s="40" t="s">
        <v>327</v>
      </c>
      <c r="C45" s="2">
        <v>902</v>
      </c>
      <c r="D45" s="37" t="s">
        <v>2</v>
      </c>
      <c r="E45" s="37" t="s">
        <v>6</v>
      </c>
      <c r="F45" s="37" t="s">
        <v>89</v>
      </c>
      <c r="G45" s="38"/>
      <c r="H45" s="37"/>
      <c r="I45" s="37"/>
      <c r="J45" s="37"/>
      <c r="K45" s="6">
        <f>K46</f>
        <v>101.39999999999999</v>
      </c>
    </row>
    <row r="46" spans="1:11" s="26" customFormat="1" x14ac:dyDescent="0.25">
      <c r="A46" s="104"/>
      <c r="B46" s="40" t="s">
        <v>328</v>
      </c>
      <c r="C46" s="2">
        <v>902</v>
      </c>
      <c r="D46" s="37" t="s">
        <v>2</v>
      </c>
      <c r="E46" s="37" t="s">
        <v>6</v>
      </c>
      <c r="F46" s="37" t="s">
        <v>89</v>
      </c>
      <c r="G46" s="38">
        <v>6</v>
      </c>
      <c r="H46" s="37"/>
      <c r="I46" s="37"/>
      <c r="J46" s="37"/>
      <c r="K46" s="6">
        <f>K47</f>
        <v>101.39999999999999</v>
      </c>
    </row>
    <row r="47" spans="1:11" s="26" customFormat="1" ht="31.2" x14ac:dyDescent="0.25">
      <c r="A47" s="104"/>
      <c r="B47" s="40" t="s">
        <v>329</v>
      </c>
      <c r="C47" s="2">
        <v>902</v>
      </c>
      <c r="D47" s="37" t="s">
        <v>2</v>
      </c>
      <c r="E47" s="37" t="s">
        <v>6</v>
      </c>
      <c r="F47" s="37" t="s">
        <v>89</v>
      </c>
      <c r="G47" s="38">
        <v>6</v>
      </c>
      <c r="H47" s="37" t="s">
        <v>2</v>
      </c>
      <c r="I47" s="37"/>
      <c r="J47" s="37"/>
      <c r="K47" s="6">
        <f>K48</f>
        <v>101.39999999999999</v>
      </c>
    </row>
    <row r="48" spans="1:11" s="26" customFormat="1" ht="93.6" x14ac:dyDescent="0.25">
      <c r="A48" s="104"/>
      <c r="B48" s="41" t="s">
        <v>272</v>
      </c>
      <c r="C48" s="2">
        <v>902</v>
      </c>
      <c r="D48" s="37" t="s">
        <v>2</v>
      </c>
      <c r="E48" s="37" t="s">
        <v>6</v>
      </c>
      <c r="F48" s="37" t="s">
        <v>89</v>
      </c>
      <c r="G48" s="38">
        <v>6</v>
      </c>
      <c r="H48" s="37" t="s">
        <v>2</v>
      </c>
      <c r="I48" s="37" t="s">
        <v>88</v>
      </c>
      <c r="J48" s="37"/>
      <c r="K48" s="6">
        <f>K49</f>
        <v>101.39999999999999</v>
      </c>
    </row>
    <row r="49" spans="1:12" s="26" customFormat="1" ht="31.2" x14ac:dyDescent="0.25">
      <c r="A49" s="104"/>
      <c r="B49" s="1" t="s">
        <v>123</v>
      </c>
      <c r="C49" s="2">
        <v>902</v>
      </c>
      <c r="D49" s="37" t="s">
        <v>2</v>
      </c>
      <c r="E49" s="37" t="s">
        <v>6</v>
      </c>
      <c r="F49" s="37" t="s">
        <v>89</v>
      </c>
      <c r="G49" s="38">
        <v>6</v>
      </c>
      <c r="H49" s="37" t="s">
        <v>2</v>
      </c>
      <c r="I49" s="37" t="s">
        <v>88</v>
      </c>
      <c r="J49" s="37" t="s">
        <v>49</v>
      </c>
      <c r="K49" s="6">
        <f>81.1+20.3</f>
        <v>101.39999999999999</v>
      </c>
    </row>
    <row r="50" spans="1:12" x14ac:dyDescent="0.25">
      <c r="A50" s="104"/>
      <c r="B50" s="1" t="s">
        <v>67</v>
      </c>
      <c r="C50" s="2">
        <v>902</v>
      </c>
      <c r="D50" s="37" t="s">
        <v>2</v>
      </c>
      <c r="E50" s="37" t="s">
        <v>6</v>
      </c>
      <c r="F50" s="37">
        <v>52</v>
      </c>
      <c r="G50" s="38"/>
      <c r="H50" s="37"/>
      <c r="I50" s="37"/>
      <c r="J50" s="37"/>
      <c r="K50" s="6">
        <f>SUM(K51+K62)</f>
        <v>211386.5</v>
      </c>
    </row>
    <row r="51" spans="1:12" ht="31.2" x14ac:dyDescent="0.25">
      <c r="A51" s="104"/>
      <c r="B51" s="1" t="s">
        <v>330</v>
      </c>
      <c r="C51" s="2">
        <v>902</v>
      </c>
      <c r="D51" s="37" t="s">
        <v>2</v>
      </c>
      <c r="E51" s="37" t="s">
        <v>6</v>
      </c>
      <c r="F51" s="37">
        <v>52</v>
      </c>
      <c r="G51" s="38">
        <v>1</v>
      </c>
      <c r="H51" s="37"/>
      <c r="I51" s="37"/>
      <c r="J51" s="37"/>
      <c r="K51" s="6">
        <f>K52+K58</f>
        <v>209043.20000000001</v>
      </c>
    </row>
    <row r="52" spans="1:12" x14ac:dyDescent="0.25">
      <c r="A52" s="104"/>
      <c r="B52" s="1" t="s">
        <v>47</v>
      </c>
      <c r="C52" s="2">
        <v>902</v>
      </c>
      <c r="D52" s="37" t="s">
        <v>2</v>
      </c>
      <c r="E52" s="37" t="s">
        <v>6</v>
      </c>
      <c r="F52" s="37">
        <v>52</v>
      </c>
      <c r="G52" s="38">
        <v>1</v>
      </c>
      <c r="H52" s="37" t="s">
        <v>77</v>
      </c>
      <c r="I52" s="37" t="s">
        <v>78</v>
      </c>
      <c r="J52" s="37"/>
      <c r="K52" s="6">
        <f>K53+K54+K56+K57+K55</f>
        <v>207059.1</v>
      </c>
    </row>
    <row r="53" spans="1:12" ht="52.5" customHeight="1" x14ac:dyDescent="0.25">
      <c r="A53" s="104"/>
      <c r="B53" s="1" t="s">
        <v>122</v>
      </c>
      <c r="C53" s="2">
        <v>902</v>
      </c>
      <c r="D53" s="37" t="s">
        <v>2</v>
      </c>
      <c r="E53" s="37" t="s">
        <v>6</v>
      </c>
      <c r="F53" s="37">
        <v>52</v>
      </c>
      <c r="G53" s="38">
        <v>1</v>
      </c>
      <c r="H53" s="37" t="s">
        <v>77</v>
      </c>
      <c r="I53" s="37" t="s">
        <v>78</v>
      </c>
      <c r="J53" s="37" t="s">
        <v>48</v>
      </c>
      <c r="K53" s="6">
        <f>191132.9+8191.9+3976.2+1050.6-5.7+620.8</f>
        <v>204966.69999999998</v>
      </c>
    </row>
    <row r="54" spans="1:12" ht="31.2" x14ac:dyDescent="0.25">
      <c r="A54" s="104"/>
      <c r="B54" s="1" t="s">
        <v>123</v>
      </c>
      <c r="C54" s="2">
        <v>902</v>
      </c>
      <c r="D54" s="37" t="s">
        <v>2</v>
      </c>
      <c r="E54" s="37" t="s">
        <v>6</v>
      </c>
      <c r="F54" s="37">
        <v>52</v>
      </c>
      <c r="G54" s="38">
        <v>1</v>
      </c>
      <c r="H54" s="37" t="s">
        <v>77</v>
      </c>
      <c r="I54" s="37" t="s">
        <v>78</v>
      </c>
      <c r="J54" s="37" t="s">
        <v>49</v>
      </c>
      <c r="K54" s="6">
        <f>1829.1-67.2+0.1+2.2+16.2+9.1+24.1+8.9+7.5+7.9+7.8+3.8+19.3+1.9</f>
        <v>1870.6999999999998</v>
      </c>
    </row>
    <row r="55" spans="1:12" x14ac:dyDescent="0.25">
      <c r="A55" s="104"/>
      <c r="B55" s="1" t="s">
        <v>55</v>
      </c>
      <c r="C55" s="2">
        <v>902</v>
      </c>
      <c r="D55" s="37" t="s">
        <v>2</v>
      </c>
      <c r="E55" s="37" t="s">
        <v>6</v>
      </c>
      <c r="F55" s="37">
        <v>52</v>
      </c>
      <c r="G55" s="38">
        <v>1</v>
      </c>
      <c r="H55" s="37" t="s">
        <v>77</v>
      </c>
      <c r="I55" s="37" t="s">
        <v>78</v>
      </c>
      <c r="J55" s="37" t="s">
        <v>56</v>
      </c>
      <c r="K55" s="6"/>
    </row>
    <row r="56" spans="1:12" x14ac:dyDescent="0.25">
      <c r="A56" s="104"/>
      <c r="B56" s="1" t="s">
        <v>22</v>
      </c>
      <c r="C56" s="2">
        <v>902</v>
      </c>
      <c r="D56" s="37" t="s">
        <v>2</v>
      </c>
      <c r="E56" s="37" t="s">
        <v>6</v>
      </c>
      <c r="F56" s="37">
        <v>52</v>
      </c>
      <c r="G56" s="38">
        <v>1</v>
      </c>
      <c r="H56" s="37" t="s">
        <v>77</v>
      </c>
      <c r="I56" s="37" t="s">
        <v>78</v>
      </c>
      <c r="J56" s="37" t="s">
        <v>58</v>
      </c>
      <c r="K56" s="6"/>
    </row>
    <row r="57" spans="1:12" x14ac:dyDescent="0.25">
      <c r="A57" s="104"/>
      <c r="B57" s="1" t="s">
        <v>50</v>
      </c>
      <c r="C57" s="2">
        <v>902</v>
      </c>
      <c r="D57" s="37" t="s">
        <v>2</v>
      </c>
      <c r="E57" s="37" t="s">
        <v>6</v>
      </c>
      <c r="F57" s="37">
        <v>52</v>
      </c>
      <c r="G57" s="38">
        <v>1</v>
      </c>
      <c r="H57" s="37" t="s">
        <v>77</v>
      </c>
      <c r="I57" s="37" t="s">
        <v>78</v>
      </c>
      <c r="J57" s="37" t="s">
        <v>51</v>
      </c>
      <c r="K57" s="6">
        <f>574-559.5+207.2</f>
        <v>221.7</v>
      </c>
    </row>
    <row r="58" spans="1:12" ht="62.4" x14ac:dyDescent="0.25">
      <c r="A58" s="104"/>
      <c r="B58" s="1" t="s">
        <v>316</v>
      </c>
      <c r="C58" s="2">
        <v>902</v>
      </c>
      <c r="D58" s="37" t="s">
        <v>2</v>
      </c>
      <c r="E58" s="37" t="s">
        <v>6</v>
      </c>
      <c r="F58" s="37">
        <v>52</v>
      </c>
      <c r="G58" s="38">
        <v>1</v>
      </c>
      <c r="H58" s="37" t="s">
        <v>77</v>
      </c>
      <c r="I58" s="37" t="s">
        <v>317</v>
      </c>
      <c r="J58" s="37"/>
      <c r="K58" s="6">
        <f>K59+K60+K61</f>
        <v>1984.1</v>
      </c>
    </row>
    <row r="59" spans="1:12" ht="31.2" x14ac:dyDescent="0.25">
      <c r="A59" s="104"/>
      <c r="B59" s="1" t="s">
        <v>123</v>
      </c>
      <c r="C59" s="2">
        <v>902</v>
      </c>
      <c r="D59" s="37" t="s">
        <v>2</v>
      </c>
      <c r="E59" s="37" t="s">
        <v>6</v>
      </c>
      <c r="F59" s="37">
        <v>52</v>
      </c>
      <c r="G59" s="38">
        <v>1</v>
      </c>
      <c r="H59" s="37" t="s">
        <v>77</v>
      </c>
      <c r="I59" s="37" t="s">
        <v>317</v>
      </c>
      <c r="J59" s="37" t="s">
        <v>49</v>
      </c>
      <c r="K59" s="6"/>
    </row>
    <row r="60" spans="1:12" x14ac:dyDescent="0.25">
      <c r="A60" s="104"/>
      <c r="B60" s="1" t="s">
        <v>55</v>
      </c>
      <c r="C60" s="2">
        <v>902</v>
      </c>
      <c r="D60" s="37" t="s">
        <v>2</v>
      </c>
      <c r="E60" s="37" t="s">
        <v>6</v>
      </c>
      <c r="F60" s="37">
        <v>52</v>
      </c>
      <c r="G60" s="38">
        <v>1</v>
      </c>
      <c r="H60" s="37" t="s">
        <v>77</v>
      </c>
      <c r="I60" s="37" t="s">
        <v>317</v>
      </c>
      <c r="J60" s="37" t="s">
        <v>56</v>
      </c>
      <c r="K60" s="6">
        <f>6.1+1074.1+505.5+5.7</f>
        <v>1591.3999999999999</v>
      </c>
    </row>
    <row r="61" spans="1:12" x14ac:dyDescent="0.25">
      <c r="A61" s="104"/>
      <c r="B61" s="1" t="s">
        <v>50</v>
      </c>
      <c r="C61" s="2">
        <v>902</v>
      </c>
      <c r="D61" s="37" t="s">
        <v>2</v>
      </c>
      <c r="E61" s="37" t="s">
        <v>6</v>
      </c>
      <c r="F61" s="37">
        <v>52</v>
      </c>
      <c r="G61" s="38">
        <v>1</v>
      </c>
      <c r="H61" s="37" t="s">
        <v>77</v>
      </c>
      <c r="I61" s="37" t="s">
        <v>317</v>
      </c>
      <c r="J61" s="37" t="s">
        <v>51</v>
      </c>
      <c r="K61" s="6">
        <f>392.7</f>
        <v>392.7</v>
      </c>
      <c r="L61" s="15" t="s">
        <v>633</v>
      </c>
    </row>
    <row r="62" spans="1:12" x14ac:dyDescent="0.25">
      <c r="A62" s="104"/>
      <c r="B62" s="1" t="s">
        <v>52</v>
      </c>
      <c r="C62" s="2">
        <v>902</v>
      </c>
      <c r="D62" s="37" t="s">
        <v>2</v>
      </c>
      <c r="E62" s="37" t="s">
        <v>6</v>
      </c>
      <c r="F62" s="37" t="s">
        <v>81</v>
      </c>
      <c r="G62" s="38">
        <v>2</v>
      </c>
      <c r="H62" s="37"/>
      <c r="I62" s="37"/>
      <c r="J62" s="37"/>
      <c r="K62" s="6">
        <f>SUM(K63+K65+K68)</f>
        <v>2343.3000000000002</v>
      </c>
    </row>
    <row r="63" spans="1:12" ht="31.2" x14ac:dyDescent="0.25">
      <c r="A63" s="104"/>
      <c r="B63" s="3" t="s">
        <v>412</v>
      </c>
      <c r="C63" s="2">
        <v>902</v>
      </c>
      <c r="D63" s="37" t="s">
        <v>2</v>
      </c>
      <c r="E63" s="37" t="s">
        <v>6</v>
      </c>
      <c r="F63" s="37" t="s">
        <v>81</v>
      </c>
      <c r="G63" s="37" t="s">
        <v>117</v>
      </c>
      <c r="H63" s="37" t="s">
        <v>77</v>
      </c>
      <c r="I63" s="37" t="s">
        <v>411</v>
      </c>
      <c r="J63" s="37"/>
      <c r="K63" s="6">
        <f>SUM(K64)</f>
        <v>500</v>
      </c>
    </row>
    <row r="64" spans="1:12" ht="31.2" x14ac:dyDescent="0.25">
      <c r="A64" s="104"/>
      <c r="B64" s="1" t="s">
        <v>123</v>
      </c>
      <c r="C64" s="2">
        <v>902</v>
      </c>
      <c r="D64" s="37" t="s">
        <v>2</v>
      </c>
      <c r="E64" s="37" t="s">
        <v>6</v>
      </c>
      <c r="F64" s="37" t="s">
        <v>81</v>
      </c>
      <c r="G64" s="37" t="s">
        <v>117</v>
      </c>
      <c r="H64" s="37" t="s">
        <v>77</v>
      </c>
      <c r="I64" s="37" t="s">
        <v>411</v>
      </c>
      <c r="J64" s="37" t="s">
        <v>49</v>
      </c>
      <c r="K64" s="6">
        <v>500</v>
      </c>
    </row>
    <row r="65" spans="1:11" s="26" customFormat="1" ht="31.2" x14ac:dyDescent="0.25">
      <c r="A65" s="104"/>
      <c r="B65" s="42" t="s">
        <v>214</v>
      </c>
      <c r="C65" s="2">
        <v>902</v>
      </c>
      <c r="D65" s="37" t="s">
        <v>2</v>
      </c>
      <c r="E65" s="37" t="s">
        <v>6</v>
      </c>
      <c r="F65" s="37" t="s">
        <v>81</v>
      </c>
      <c r="G65" s="38">
        <v>2</v>
      </c>
      <c r="H65" s="37" t="s">
        <v>77</v>
      </c>
      <c r="I65" s="37" t="s">
        <v>82</v>
      </c>
      <c r="J65" s="37"/>
      <c r="K65" s="6">
        <f>SUM(K66:K67)</f>
        <v>920.1</v>
      </c>
    </row>
    <row r="66" spans="1:11" s="26" customFormat="1" ht="46.5" customHeight="1" x14ac:dyDescent="0.25">
      <c r="A66" s="104"/>
      <c r="B66" s="1" t="s">
        <v>122</v>
      </c>
      <c r="C66" s="2">
        <v>902</v>
      </c>
      <c r="D66" s="37" t="s">
        <v>2</v>
      </c>
      <c r="E66" s="37" t="s">
        <v>6</v>
      </c>
      <c r="F66" s="37" t="s">
        <v>81</v>
      </c>
      <c r="G66" s="38">
        <v>2</v>
      </c>
      <c r="H66" s="37" t="s">
        <v>77</v>
      </c>
      <c r="I66" s="37" t="s">
        <v>82</v>
      </c>
      <c r="J66" s="37" t="s">
        <v>48</v>
      </c>
      <c r="K66" s="6">
        <f>849.4-10.3</f>
        <v>839.1</v>
      </c>
    </row>
    <row r="67" spans="1:11" s="26" customFormat="1" ht="31.2" x14ac:dyDescent="0.25">
      <c r="A67" s="104"/>
      <c r="B67" s="1" t="s">
        <v>123</v>
      </c>
      <c r="C67" s="2">
        <v>902</v>
      </c>
      <c r="D67" s="37" t="s">
        <v>2</v>
      </c>
      <c r="E67" s="37" t="s">
        <v>6</v>
      </c>
      <c r="F67" s="37" t="s">
        <v>81</v>
      </c>
      <c r="G67" s="38">
        <v>2</v>
      </c>
      <c r="H67" s="37" t="s">
        <v>77</v>
      </c>
      <c r="I67" s="37" t="s">
        <v>82</v>
      </c>
      <c r="J67" s="37" t="s">
        <v>49</v>
      </c>
      <c r="K67" s="6">
        <v>81</v>
      </c>
    </row>
    <row r="68" spans="1:11" s="26" customFormat="1" ht="62.4" x14ac:dyDescent="0.25">
      <c r="A68" s="104"/>
      <c r="B68" s="3" t="s">
        <v>414</v>
      </c>
      <c r="C68" s="2">
        <v>902</v>
      </c>
      <c r="D68" s="37" t="s">
        <v>2</v>
      </c>
      <c r="E68" s="37" t="s">
        <v>6</v>
      </c>
      <c r="F68" s="37" t="s">
        <v>81</v>
      </c>
      <c r="G68" s="38">
        <v>2</v>
      </c>
      <c r="H68" s="37" t="s">
        <v>77</v>
      </c>
      <c r="I68" s="37" t="s">
        <v>254</v>
      </c>
      <c r="J68" s="37"/>
      <c r="K68" s="6">
        <f>SUM(K69:K70)</f>
        <v>923.2</v>
      </c>
    </row>
    <row r="69" spans="1:11" s="26" customFormat="1" ht="50.25" customHeight="1" x14ac:dyDescent="0.25">
      <c r="A69" s="104"/>
      <c r="B69" s="1" t="s">
        <v>122</v>
      </c>
      <c r="C69" s="2">
        <v>902</v>
      </c>
      <c r="D69" s="37" t="s">
        <v>2</v>
      </c>
      <c r="E69" s="37" t="s">
        <v>6</v>
      </c>
      <c r="F69" s="37" t="s">
        <v>81</v>
      </c>
      <c r="G69" s="38">
        <v>2</v>
      </c>
      <c r="H69" s="37" t="s">
        <v>77</v>
      </c>
      <c r="I69" s="37" t="s">
        <v>254</v>
      </c>
      <c r="J69" s="37" t="s">
        <v>48</v>
      </c>
      <c r="K69" s="6">
        <f>849.3-10.3</f>
        <v>839</v>
      </c>
    </row>
    <row r="70" spans="1:11" s="26" customFormat="1" ht="31.2" x14ac:dyDescent="0.25">
      <c r="A70" s="104"/>
      <c r="B70" s="1" t="s">
        <v>123</v>
      </c>
      <c r="C70" s="2">
        <v>902</v>
      </c>
      <c r="D70" s="37" t="s">
        <v>2</v>
      </c>
      <c r="E70" s="37" t="s">
        <v>6</v>
      </c>
      <c r="F70" s="37" t="s">
        <v>81</v>
      </c>
      <c r="G70" s="38">
        <v>2</v>
      </c>
      <c r="H70" s="37" t="s">
        <v>77</v>
      </c>
      <c r="I70" s="37" t="s">
        <v>254</v>
      </c>
      <c r="J70" s="37" t="s">
        <v>49</v>
      </c>
      <c r="K70" s="6">
        <v>84.2</v>
      </c>
    </row>
    <row r="71" spans="1:11" s="26" customFormat="1" x14ac:dyDescent="0.25">
      <c r="A71" s="104"/>
      <c r="B71" s="1" t="s">
        <v>178</v>
      </c>
      <c r="C71" s="2">
        <v>902</v>
      </c>
      <c r="D71" s="37" t="s">
        <v>2</v>
      </c>
      <c r="E71" s="37" t="s">
        <v>7</v>
      </c>
      <c r="F71" s="37"/>
      <c r="G71" s="38"/>
      <c r="H71" s="37"/>
      <c r="I71" s="37"/>
      <c r="J71" s="37"/>
      <c r="K71" s="6">
        <f>SUM(K72)</f>
        <v>7.8</v>
      </c>
    </row>
    <row r="72" spans="1:11" s="26" customFormat="1" x14ac:dyDescent="0.25">
      <c r="A72" s="104"/>
      <c r="B72" s="1" t="s">
        <v>67</v>
      </c>
      <c r="C72" s="2">
        <v>902</v>
      </c>
      <c r="D72" s="37" t="s">
        <v>2</v>
      </c>
      <c r="E72" s="37" t="s">
        <v>7</v>
      </c>
      <c r="F72" s="37">
        <v>52</v>
      </c>
      <c r="G72" s="38"/>
      <c r="H72" s="37"/>
      <c r="I72" s="37"/>
      <c r="J72" s="37"/>
      <c r="K72" s="6">
        <f>SUM(K73)</f>
        <v>7.8</v>
      </c>
    </row>
    <row r="73" spans="1:11" s="26" customFormat="1" x14ac:dyDescent="0.25">
      <c r="A73" s="104"/>
      <c r="B73" s="40" t="s">
        <v>52</v>
      </c>
      <c r="C73" s="2">
        <v>902</v>
      </c>
      <c r="D73" s="37" t="s">
        <v>2</v>
      </c>
      <c r="E73" s="37" t="s">
        <v>7</v>
      </c>
      <c r="F73" s="37" t="s">
        <v>81</v>
      </c>
      <c r="G73" s="37" t="s">
        <v>117</v>
      </c>
      <c r="H73" s="37"/>
      <c r="I73" s="37"/>
      <c r="J73" s="37"/>
      <c r="K73" s="6">
        <f>SUM(K74)</f>
        <v>7.8</v>
      </c>
    </row>
    <row r="74" spans="1:11" s="26" customFormat="1" ht="46.8" x14ac:dyDescent="0.25">
      <c r="A74" s="104"/>
      <c r="B74" s="3" t="s">
        <v>177</v>
      </c>
      <c r="C74" s="2">
        <v>902</v>
      </c>
      <c r="D74" s="37" t="s">
        <v>2</v>
      </c>
      <c r="E74" s="37" t="s">
        <v>7</v>
      </c>
      <c r="F74" s="37" t="s">
        <v>81</v>
      </c>
      <c r="G74" s="37" t="s">
        <v>117</v>
      </c>
      <c r="H74" s="37" t="s">
        <v>77</v>
      </c>
      <c r="I74" s="37" t="s">
        <v>176</v>
      </c>
      <c r="J74" s="37"/>
      <c r="K74" s="6">
        <f>SUM(K75)</f>
        <v>7.8</v>
      </c>
    </row>
    <row r="75" spans="1:11" s="26" customFormat="1" ht="31.2" x14ac:dyDescent="0.25">
      <c r="A75" s="104"/>
      <c r="B75" s="1" t="s">
        <v>123</v>
      </c>
      <c r="C75" s="2">
        <v>902</v>
      </c>
      <c r="D75" s="37" t="s">
        <v>2</v>
      </c>
      <c r="E75" s="37" t="s">
        <v>7</v>
      </c>
      <c r="F75" s="37" t="s">
        <v>81</v>
      </c>
      <c r="G75" s="37" t="s">
        <v>117</v>
      </c>
      <c r="H75" s="37" t="s">
        <v>77</v>
      </c>
      <c r="I75" s="37" t="s">
        <v>176</v>
      </c>
      <c r="J75" s="37" t="s">
        <v>49</v>
      </c>
      <c r="K75" s="6">
        <v>7.8</v>
      </c>
    </row>
    <row r="76" spans="1:11" s="26" customFormat="1" x14ac:dyDescent="0.25">
      <c r="A76" s="104"/>
      <c r="B76" s="1" t="s">
        <v>268</v>
      </c>
      <c r="C76" s="2">
        <v>902</v>
      </c>
      <c r="D76" s="37" t="s">
        <v>2</v>
      </c>
      <c r="E76" s="37" t="s">
        <v>8</v>
      </c>
      <c r="F76" s="37"/>
      <c r="G76" s="37"/>
      <c r="H76" s="37"/>
      <c r="I76" s="37"/>
      <c r="J76" s="37"/>
      <c r="K76" s="6">
        <f>K77</f>
        <v>4860.6000000000004</v>
      </c>
    </row>
    <row r="77" spans="1:11" s="26" customFormat="1" ht="31.2" x14ac:dyDescent="0.25">
      <c r="A77" s="104"/>
      <c r="B77" s="1" t="s">
        <v>63</v>
      </c>
      <c r="C77" s="2">
        <v>902</v>
      </c>
      <c r="D77" s="37" t="s">
        <v>2</v>
      </c>
      <c r="E77" s="37" t="s">
        <v>8</v>
      </c>
      <c r="F77" s="37" t="s">
        <v>269</v>
      </c>
      <c r="G77" s="37"/>
      <c r="H77" s="37"/>
      <c r="I77" s="37"/>
      <c r="J77" s="37"/>
      <c r="K77" s="6">
        <f>K78</f>
        <v>4860.6000000000004</v>
      </c>
    </row>
    <row r="78" spans="1:11" s="26" customFormat="1" ht="31.2" x14ac:dyDescent="0.25">
      <c r="A78" s="104"/>
      <c r="B78" s="1" t="s">
        <v>331</v>
      </c>
      <c r="C78" s="2">
        <v>902</v>
      </c>
      <c r="D78" s="37" t="s">
        <v>2</v>
      </c>
      <c r="E78" s="37" t="s">
        <v>8</v>
      </c>
      <c r="F78" s="37" t="s">
        <v>269</v>
      </c>
      <c r="G78" s="37" t="s">
        <v>117</v>
      </c>
      <c r="H78" s="37"/>
      <c r="I78" s="37"/>
      <c r="J78" s="37"/>
      <c r="K78" s="6">
        <f>K79</f>
        <v>4860.6000000000004</v>
      </c>
    </row>
    <row r="79" spans="1:11" s="26" customFormat="1" ht="46.8" x14ac:dyDescent="0.25">
      <c r="A79" s="104"/>
      <c r="B79" s="1" t="s">
        <v>332</v>
      </c>
      <c r="C79" s="2">
        <v>902</v>
      </c>
      <c r="D79" s="37" t="s">
        <v>2</v>
      </c>
      <c r="E79" s="37" t="s">
        <v>8</v>
      </c>
      <c r="F79" s="37" t="s">
        <v>269</v>
      </c>
      <c r="G79" s="37" t="s">
        <v>117</v>
      </c>
      <c r="H79" s="37" t="s">
        <v>77</v>
      </c>
      <c r="I79" s="37" t="s">
        <v>270</v>
      </c>
      <c r="J79" s="37"/>
      <c r="K79" s="6">
        <f>K80</f>
        <v>4860.6000000000004</v>
      </c>
    </row>
    <row r="80" spans="1:11" s="26" customFormat="1" x14ac:dyDescent="0.25">
      <c r="A80" s="104"/>
      <c r="B80" s="1" t="s">
        <v>50</v>
      </c>
      <c r="C80" s="2">
        <v>902</v>
      </c>
      <c r="D80" s="37" t="s">
        <v>2</v>
      </c>
      <c r="E80" s="37" t="s">
        <v>8</v>
      </c>
      <c r="F80" s="37" t="s">
        <v>269</v>
      </c>
      <c r="G80" s="37" t="s">
        <v>117</v>
      </c>
      <c r="H80" s="37" t="s">
        <v>77</v>
      </c>
      <c r="I80" s="37" t="s">
        <v>270</v>
      </c>
      <c r="J80" s="37" t="s">
        <v>51</v>
      </c>
      <c r="K80" s="6">
        <v>4860.6000000000004</v>
      </c>
    </row>
    <row r="81" spans="1:11" s="26" customFormat="1" x14ac:dyDescent="0.25">
      <c r="A81" s="104"/>
      <c r="B81" s="1" t="s">
        <v>9</v>
      </c>
      <c r="C81" s="2">
        <v>902</v>
      </c>
      <c r="D81" s="37" t="s">
        <v>2</v>
      </c>
      <c r="E81" s="37" t="s">
        <v>40</v>
      </c>
      <c r="F81" s="37"/>
      <c r="G81" s="38"/>
      <c r="H81" s="37"/>
      <c r="I81" s="37"/>
      <c r="J81" s="37"/>
      <c r="K81" s="6">
        <f>SUM(K82+K92+K139+K158+K115+K149+K129+K87+K134+K144)</f>
        <v>406279.39999999991</v>
      </c>
    </row>
    <row r="82" spans="1:11" s="26" customFormat="1" x14ac:dyDescent="0.25">
      <c r="A82" s="104"/>
      <c r="B82" s="40" t="s">
        <v>378</v>
      </c>
      <c r="C82" s="2">
        <v>902</v>
      </c>
      <c r="D82" s="37" t="s">
        <v>2</v>
      </c>
      <c r="E82" s="37" t="s">
        <v>40</v>
      </c>
      <c r="F82" s="37" t="s">
        <v>4</v>
      </c>
      <c r="G82" s="38"/>
      <c r="H82" s="37"/>
      <c r="I82" s="37"/>
      <c r="J82" s="37"/>
      <c r="K82" s="6">
        <f>K83</f>
        <v>0</v>
      </c>
    </row>
    <row r="83" spans="1:11" s="26" customFormat="1" ht="62.4" x14ac:dyDescent="0.25">
      <c r="A83" s="104"/>
      <c r="B83" s="1" t="s">
        <v>500</v>
      </c>
      <c r="C83" s="2">
        <v>902</v>
      </c>
      <c r="D83" s="37" t="s">
        <v>2</v>
      </c>
      <c r="E83" s="37" t="s">
        <v>40</v>
      </c>
      <c r="F83" s="37" t="s">
        <v>4</v>
      </c>
      <c r="G83" s="38">
        <v>1</v>
      </c>
      <c r="H83" s="37"/>
      <c r="I83" s="37"/>
      <c r="J83" s="37"/>
      <c r="K83" s="6">
        <f>K84</f>
        <v>0</v>
      </c>
    </row>
    <row r="84" spans="1:11" s="26" customFormat="1" ht="31.2" x14ac:dyDescent="0.25">
      <c r="A84" s="104"/>
      <c r="B84" s="40" t="s">
        <v>501</v>
      </c>
      <c r="C84" s="2">
        <v>902</v>
      </c>
      <c r="D84" s="37" t="s">
        <v>2</v>
      </c>
      <c r="E84" s="37" t="s">
        <v>40</v>
      </c>
      <c r="F84" s="37" t="s">
        <v>4</v>
      </c>
      <c r="G84" s="38">
        <v>1</v>
      </c>
      <c r="H84" s="37" t="s">
        <v>2</v>
      </c>
      <c r="I84" s="37"/>
      <c r="J84" s="37"/>
      <c r="K84" s="6">
        <f>K85</f>
        <v>0</v>
      </c>
    </row>
    <row r="85" spans="1:11" s="26" customFormat="1" ht="31.2" x14ac:dyDescent="0.25">
      <c r="A85" s="104"/>
      <c r="B85" s="40" t="s">
        <v>333</v>
      </c>
      <c r="C85" s="2">
        <v>902</v>
      </c>
      <c r="D85" s="37" t="s">
        <v>2</v>
      </c>
      <c r="E85" s="37" t="s">
        <v>40</v>
      </c>
      <c r="F85" s="37" t="s">
        <v>4</v>
      </c>
      <c r="G85" s="38">
        <v>1</v>
      </c>
      <c r="H85" s="37" t="s">
        <v>2</v>
      </c>
      <c r="I85" s="37" t="s">
        <v>193</v>
      </c>
      <c r="J85" s="37"/>
      <c r="K85" s="6">
        <f>K86</f>
        <v>0</v>
      </c>
    </row>
    <row r="86" spans="1:11" s="26" customFormat="1" ht="31.2" x14ac:dyDescent="0.25">
      <c r="A86" s="104"/>
      <c r="B86" s="40" t="s">
        <v>123</v>
      </c>
      <c r="C86" s="2">
        <v>902</v>
      </c>
      <c r="D86" s="37" t="s">
        <v>2</v>
      </c>
      <c r="E86" s="37" t="s">
        <v>40</v>
      </c>
      <c r="F86" s="37" t="s">
        <v>4</v>
      </c>
      <c r="G86" s="38">
        <v>1</v>
      </c>
      <c r="H86" s="37" t="s">
        <v>2</v>
      </c>
      <c r="I86" s="37" t="s">
        <v>193</v>
      </c>
      <c r="J86" s="37" t="s">
        <v>49</v>
      </c>
      <c r="K86" s="6"/>
    </row>
    <row r="87" spans="1:11" s="26" customFormat="1" x14ac:dyDescent="0.25">
      <c r="A87" s="104"/>
      <c r="B87" s="40" t="s">
        <v>415</v>
      </c>
      <c r="C87" s="2">
        <v>902</v>
      </c>
      <c r="D87" s="37" t="s">
        <v>2</v>
      </c>
      <c r="E87" s="37" t="s">
        <v>40</v>
      </c>
      <c r="F87" s="37" t="s">
        <v>5</v>
      </c>
      <c r="G87" s="38"/>
      <c r="H87" s="37"/>
      <c r="I87" s="37"/>
      <c r="J87" s="37"/>
      <c r="K87" s="6">
        <f>SUM(K88)</f>
        <v>25414.100000000002</v>
      </c>
    </row>
    <row r="88" spans="1:11" s="26" customFormat="1" ht="31.2" x14ac:dyDescent="0.25">
      <c r="A88" s="104"/>
      <c r="B88" s="1" t="s">
        <v>416</v>
      </c>
      <c r="C88" s="2">
        <v>902</v>
      </c>
      <c r="D88" s="37" t="s">
        <v>2</v>
      </c>
      <c r="E88" s="37" t="s">
        <v>40</v>
      </c>
      <c r="F88" s="37" t="s">
        <v>5</v>
      </c>
      <c r="G88" s="38">
        <v>1</v>
      </c>
      <c r="H88" s="37"/>
      <c r="I88" s="37"/>
      <c r="J88" s="37"/>
      <c r="K88" s="6">
        <f>SUM(K89)</f>
        <v>25414.100000000002</v>
      </c>
    </row>
    <row r="89" spans="1:11" s="26" customFormat="1" ht="62.4" x14ac:dyDescent="0.25">
      <c r="A89" s="104"/>
      <c r="B89" s="1" t="s">
        <v>417</v>
      </c>
      <c r="C89" s="2">
        <v>902</v>
      </c>
      <c r="D89" s="37" t="s">
        <v>2</v>
      </c>
      <c r="E89" s="37" t="s">
        <v>40</v>
      </c>
      <c r="F89" s="37" t="s">
        <v>5</v>
      </c>
      <c r="G89" s="38">
        <v>1</v>
      </c>
      <c r="H89" s="37" t="s">
        <v>2</v>
      </c>
      <c r="I89" s="37"/>
      <c r="J89" s="37"/>
      <c r="K89" s="6">
        <f>SUM(K90)</f>
        <v>25414.100000000002</v>
      </c>
    </row>
    <row r="90" spans="1:11" s="26" customFormat="1" ht="46.8" x14ac:dyDescent="0.25">
      <c r="A90" s="104"/>
      <c r="B90" s="1" t="s">
        <v>448</v>
      </c>
      <c r="C90" s="2">
        <v>902</v>
      </c>
      <c r="D90" s="37" t="s">
        <v>2</v>
      </c>
      <c r="E90" s="37" t="s">
        <v>40</v>
      </c>
      <c r="F90" s="37" t="s">
        <v>5</v>
      </c>
      <c r="G90" s="38">
        <v>1</v>
      </c>
      <c r="H90" s="37" t="s">
        <v>2</v>
      </c>
      <c r="I90" s="37" t="s">
        <v>447</v>
      </c>
      <c r="J90" s="37"/>
      <c r="K90" s="6">
        <f>SUM(K91)</f>
        <v>25414.100000000002</v>
      </c>
    </row>
    <row r="91" spans="1:11" s="26" customFormat="1" ht="31.2" x14ac:dyDescent="0.25">
      <c r="A91" s="104"/>
      <c r="B91" s="43" t="s">
        <v>121</v>
      </c>
      <c r="C91" s="2">
        <v>902</v>
      </c>
      <c r="D91" s="37" t="s">
        <v>2</v>
      </c>
      <c r="E91" s="37" t="s">
        <v>40</v>
      </c>
      <c r="F91" s="37" t="s">
        <v>5</v>
      </c>
      <c r="G91" s="38">
        <v>1</v>
      </c>
      <c r="H91" s="37" t="s">
        <v>2</v>
      </c>
      <c r="I91" s="37" t="s">
        <v>447</v>
      </c>
      <c r="J91" s="37" t="s">
        <v>59</v>
      </c>
      <c r="K91" s="6">
        <f>10740.9+12334+2339.2</f>
        <v>25414.100000000002</v>
      </c>
    </row>
    <row r="92" spans="1:11" s="26" customFormat="1" ht="31.2" x14ac:dyDescent="0.25">
      <c r="A92" s="104"/>
      <c r="B92" s="1" t="s">
        <v>334</v>
      </c>
      <c r="C92" s="2">
        <v>902</v>
      </c>
      <c r="D92" s="37" t="s">
        <v>2</v>
      </c>
      <c r="E92" s="37" t="s">
        <v>40</v>
      </c>
      <c r="F92" s="37" t="s">
        <v>8</v>
      </c>
      <c r="G92" s="38"/>
      <c r="H92" s="37"/>
      <c r="I92" s="37"/>
      <c r="J92" s="37"/>
      <c r="K92" s="6">
        <f t="shared" ref="K92" si="2">SUM(K93)</f>
        <v>302777.89999999997</v>
      </c>
    </row>
    <row r="93" spans="1:11" s="26" customFormat="1" ht="31.2" x14ac:dyDescent="0.25">
      <c r="A93" s="104"/>
      <c r="B93" s="1" t="s">
        <v>335</v>
      </c>
      <c r="C93" s="2">
        <v>902</v>
      </c>
      <c r="D93" s="37" t="s">
        <v>2</v>
      </c>
      <c r="E93" s="37" t="s">
        <v>40</v>
      </c>
      <c r="F93" s="37" t="s">
        <v>8</v>
      </c>
      <c r="G93" s="38">
        <v>1</v>
      </c>
      <c r="H93" s="37"/>
      <c r="I93" s="37"/>
      <c r="J93" s="37"/>
      <c r="K93" s="6">
        <f>K94+K106</f>
        <v>302777.89999999997</v>
      </c>
    </row>
    <row r="94" spans="1:11" s="26" customFormat="1" x14ac:dyDescent="0.25">
      <c r="A94" s="104"/>
      <c r="B94" s="1" t="s">
        <v>475</v>
      </c>
      <c r="C94" s="2">
        <v>902</v>
      </c>
      <c r="D94" s="37" t="s">
        <v>2</v>
      </c>
      <c r="E94" s="37" t="s">
        <v>40</v>
      </c>
      <c r="F94" s="37" t="s">
        <v>8</v>
      </c>
      <c r="G94" s="38">
        <v>1</v>
      </c>
      <c r="H94" s="37" t="s">
        <v>2</v>
      </c>
      <c r="I94" s="37"/>
      <c r="J94" s="37"/>
      <c r="K94" s="6">
        <f>SUM(K95+K101)</f>
        <v>298706.19999999995</v>
      </c>
    </row>
    <row r="95" spans="1:11" s="26" customFormat="1" ht="46.8" x14ac:dyDescent="0.25">
      <c r="A95" s="104"/>
      <c r="B95" s="1" t="s">
        <v>66</v>
      </c>
      <c r="C95" s="2">
        <v>902</v>
      </c>
      <c r="D95" s="37" t="s">
        <v>2</v>
      </c>
      <c r="E95" s="37" t="s">
        <v>40</v>
      </c>
      <c r="F95" s="37" t="s">
        <v>8</v>
      </c>
      <c r="G95" s="38">
        <v>1</v>
      </c>
      <c r="H95" s="37" t="s">
        <v>2</v>
      </c>
      <c r="I95" s="37" t="s">
        <v>85</v>
      </c>
      <c r="J95" s="37"/>
      <c r="K95" s="6">
        <f>SUM(K96:K100)</f>
        <v>227890.59999999995</v>
      </c>
    </row>
    <row r="96" spans="1:11" s="26" customFormat="1" ht="52.5" customHeight="1" x14ac:dyDescent="0.25">
      <c r="A96" s="104"/>
      <c r="B96" s="1" t="s">
        <v>122</v>
      </c>
      <c r="C96" s="2">
        <v>902</v>
      </c>
      <c r="D96" s="37" t="s">
        <v>2</v>
      </c>
      <c r="E96" s="37" t="s">
        <v>40</v>
      </c>
      <c r="F96" s="37" t="s">
        <v>8</v>
      </c>
      <c r="G96" s="38">
        <v>1</v>
      </c>
      <c r="H96" s="37" t="s">
        <v>2</v>
      </c>
      <c r="I96" s="37" t="s">
        <v>85</v>
      </c>
      <c r="J96" s="37" t="s">
        <v>48</v>
      </c>
      <c r="K96" s="6">
        <f>70150.9+46044.2+34017-9999.2-4811.7+7.8+19022.3+1822.8+18.7-922+466</f>
        <v>155816.79999999993</v>
      </c>
    </row>
    <row r="97" spans="1:11" s="26" customFormat="1" ht="31.2" x14ac:dyDescent="0.25">
      <c r="A97" s="104"/>
      <c r="B97" s="1" t="s">
        <v>123</v>
      </c>
      <c r="C97" s="2">
        <v>902</v>
      </c>
      <c r="D97" s="37" t="s">
        <v>2</v>
      </c>
      <c r="E97" s="37" t="s">
        <v>40</v>
      </c>
      <c r="F97" s="37" t="s">
        <v>8</v>
      </c>
      <c r="G97" s="38">
        <v>1</v>
      </c>
      <c r="H97" s="37" t="s">
        <v>2</v>
      </c>
      <c r="I97" s="37" t="s">
        <v>85</v>
      </c>
      <c r="J97" s="37" t="s">
        <v>49</v>
      </c>
      <c r="K97" s="6">
        <f>51858.2+4070.1+180.2+191.1+1018.8+52.1+5.8+1+12721.3-7-6.5+1639.8-18.7-7.5+32.3-60.3</f>
        <v>71670.7</v>
      </c>
    </row>
    <row r="98" spans="1:11" s="26" customFormat="1" x14ac:dyDescent="0.25">
      <c r="A98" s="104"/>
      <c r="B98" s="1" t="s">
        <v>55</v>
      </c>
      <c r="C98" s="2">
        <v>902</v>
      </c>
      <c r="D98" s="37" t="s">
        <v>2</v>
      </c>
      <c r="E98" s="37" t="s">
        <v>40</v>
      </c>
      <c r="F98" s="37" t="s">
        <v>8</v>
      </c>
      <c r="G98" s="38">
        <v>1</v>
      </c>
      <c r="H98" s="37" t="s">
        <v>2</v>
      </c>
      <c r="I98" s="37" t="s">
        <v>85</v>
      </c>
      <c r="J98" s="37" t="s">
        <v>56</v>
      </c>
      <c r="K98" s="6"/>
    </row>
    <row r="99" spans="1:11" s="26" customFormat="1" ht="31.2" x14ac:dyDescent="0.25">
      <c r="A99" s="104"/>
      <c r="B99" s="43" t="s">
        <v>121</v>
      </c>
      <c r="C99" s="2">
        <v>902</v>
      </c>
      <c r="D99" s="37" t="s">
        <v>2</v>
      </c>
      <c r="E99" s="37" t="s">
        <v>40</v>
      </c>
      <c r="F99" s="37" t="s">
        <v>8</v>
      </c>
      <c r="G99" s="38">
        <v>1</v>
      </c>
      <c r="H99" s="37" t="s">
        <v>2</v>
      </c>
      <c r="I99" s="37" t="s">
        <v>85</v>
      </c>
      <c r="J99" s="37" t="s">
        <v>59</v>
      </c>
      <c r="K99" s="6">
        <f>12334-12334</f>
        <v>0</v>
      </c>
    </row>
    <row r="100" spans="1:11" s="26" customFormat="1" x14ac:dyDescent="0.25">
      <c r="A100" s="104"/>
      <c r="B100" s="1" t="s">
        <v>50</v>
      </c>
      <c r="C100" s="2">
        <v>902</v>
      </c>
      <c r="D100" s="37" t="s">
        <v>2</v>
      </c>
      <c r="E100" s="37" t="s">
        <v>40</v>
      </c>
      <c r="F100" s="37" t="s">
        <v>8</v>
      </c>
      <c r="G100" s="38">
        <v>1</v>
      </c>
      <c r="H100" s="37" t="s">
        <v>2</v>
      </c>
      <c r="I100" s="37" t="s">
        <v>85</v>
      </c>
      <c r="J100" s="37" t="s">
        <v>51</v>
      </c>
      <c r="K100" s="6">
        <f>308.3+7+6.5+13.5+7.5+60.3</f>
        <v>403.1</v>
      </c>
    </row>
    <row r="101" spans="1:11" s="26" customFormat="1" ht="46.8" x14ac:dyDescent="0.25">
      <c r="A101" s="104"/>
      <c r="B101" s="1" t="s">
        <v>448</v>
      </c>
      <c r="C101" s="2">
        <v>902</v>
      </c>
      <c r="D101" s="37" t="s">
        <v>2</v>
      </c>
      <c r="E101" s="37" t="s">
        <v>40</v>
      </c>
      <c r="F101" s="37" t="s">
        <v>8</v>
      </c>
      <c r="G101" s="38">
        <v>1</v>
      </c>
      <c r="H101" s="37" t="s">
        <v>2</v>
      </c>
      <c r="I101" s="37" t="s">
        <v>447</v>
      </c>
      <c r="J101" s="37"/>
      <c r="K101" s="6">
        <f>SUM(K102:K105)</f>
        <v>70815.60000000002</v>
      </c>
    </row>
    <row r="102" spans="1:11" s="26" customFormat="1" ht="50.25" customHeight="1" x14ac:dyDescent="0.25">
      <c r="A102" s="104"/>
      <c r="B102" s="1" t="s">
        <v>122</v>
      </c>
      <c r="C102" s="2">
        <v>902</v>
      </c>
      <c r="D102" s="37" t="s">
        <v>2</v>
      </c>
      <c r="E102" s="37" t="s">
        <v>40</v>
      </c>
      <c r="F102" s="37" t="s">
        <v>8</v>
      </c>
      <c r="G102" s="38">
        <v>1</v>
      </c>
      <c r="H102" s="37" t="s">
        <v>2</v>
      </c>
      <c r="I102" s="37" t="s">
        <v>447</v>
      </c>
      <c r="J102" s="37" t="s">
        <v>48</v>
      </c>
      <c r="K102" s="6">
        <f>31827.2+18640.2-0.1-1318.1+483.6+609.7+512.5+312.5+342+594.9+258.9-0.1+888.5+165+26.3-3268.1+37.8+253.1</f>
        <v>50365.80000000001</v>
      </c>
    </row>
    <row r="103" spans="1:11" s="26" customFormat="1" ht="31.2" x14ac:dyDescent="0.25">
      <c r="A103" s="104"/>
      <c r="B103" s="1" t="s">
        <v>123</v>
      </c>
      <c r="C103" s="2">
        <v>902</v>
      </c>
      <c r="D103" s="37" t="s">
        <v>2</v>
      </c>
      <c r="E103" s="37" t="s">
        <v>40</v>
      </c>
      <c r="F103" s="37" t="s">
        <v>8</v>
      </c>
      <c r="G103" s="38">
        <v>1</v>
      </c>
      <c r="H103" s="37" t="s">
        <v>2</v>
      </c>
      <c r="I103" s="37" t="s">
        <v>447</v>
      </c>
      <c r="J103" s="37" t="s">
        <v>49</v>
      </c>
      <c r="K103" s="6">
        <f>19358.8+3000.2+0.2+37+1+3.8+5.7+1+2.3+66+640.9+53.2-0.2-2153.3-0.2-0.5-0.5+14+34.9-165-26.3-274.4-37.8-253.1</f>
        <v>20307.700000000004</v>
      </c>
    </row>
    <row r="104" spans="1:11" s="26" customFormat="1" ht="31.2" x14ac:dyDescent="0.25">
      <c r="A104" s="104"/>
      <c r="B104" s="43" t="s">
        <v>121</v>
      </c>
      <c r="C104" s="2">
        <v>902</v>
      </c>
      <c r="D104" s="37" t="s">
        <v>2</v>
      </c>
      <c r="E104" s="37" t="s">
        <v>40</v>
      </c>
      <c r="F104" s="37" t="s">
        <v>8</v>
      </c>
      <c r="G104" s="38">
        <v>1</v>
      </c>
      <c r="H104" s="37" t="s">
        <v>2</v>
      </c>
      <c r="I104" s="37" t="s">
        <v>447</v>
      </c>
      <c r="J104" s="37" t="s">
        <v>59</v>
      </c>
      <c r="K104" s="6"/>
    </row>
    <row r="105" spans="1:11" s="26" customFormat="1" x14ac:dyDescent="0.25">
      <c r="A105" s="104"/>
      <c r="B105" s="1" t="s">
        <v>50</v>
      </c>
      <c r="C105" s="2">
        <v>902</v>
      </c>
      <c r="D105" s="37" t="s">
        <v>2</v>
      </c>
      <c r="E105" s="37" t="s">
        <v>40</v>
      </c>
      <c r="F105" s="37" t="s">
        <v>8</v>
      </c>
      <c r="G105" s="38">
        <v>1</v>
      </c>
      <c r="H105" s="37" t="s">
        <v>2</v>
      </c>
      <c r="I105" s="37" t="s">
        <v>447</v>
      </c>
      <c r="J105" s="37" t="s">
        <v>51</v>
      </c>
      <c r="K105" s="6">
        <f>113.5+26.7+4.9+0.1+0.2-4.7+0.2+0.5+0.5+0.1+0.1</f>
        <v>142.09999999999997</v>
      </c>
    </row>
    <row r="106" spans="1:11" s="26" customFormat="1" ht="31.2" x14ac:dyDescent="0.25">
      <c r="A106" s="104"/>
      <c r="B106" s="1" t="s">
        <v>91</v>
      </c>
      <c r="C106" s="2">
        <v>902</v>
      </c>
      <c r="D106" s="37" t="s">
        <v>2</v>
      </c>
      <c r="E106" s="37" t="s">
        <v>40</v>
      </c>
      <c r="F106" s="37" t="s">
        <v>8</v>
      </c>
      <c r="G106" s="38">
        <v>1</v>
      </c>
      <c r="H106" s="37" t="s">
        <v>4</v>
      </c>
      <c r="I106" s="37"/>
      <c r="J106" s="37"/>
      <c r="K106" s="6">
        <f>K109+K111+K107+K113</f>
        <v>4071.7000000000003</v>
      </c>
    </row>
    <row r="107" spans="1:11" s="26" customFormat="1" x14ac:dyDescent="0.25">
      <c r="A107" s="104"/>
      <c r="B107" s="1" t="s">
        <v>573</v>
      </c>
      <c r="C107" s="2">
        <v>902</v>
      </c>
      <c r="D107" s="37" t="s">
        <v>2</v>
      </c>
      <c r="E107" s="37" t="s">
        <v>40</v>
      </c>
      <c r="F107" s="37" t="s">
        <v>8</v>
      </c>
      <c r="G107" s="38">
        <v>1</v>
      </c>
      <c r="H107" s="37" t="s">
        <v>4</v>
      </c>
      <c r="I107" s="37" t="s">
        <v>572</v>
      </c>
      <c r="J107" s="39"/>
      <c r="K107" s="6">
        <f>K108</f>
        <v>1119</v>
      </c>
    </row>
    <row r="108" spans="1:11" s="26" customFormat="1" x14ac:dyDescent="0.25">
      <c r="A108" s="104"/>
      <c r="B108" s="1" t="s">
        <v>50</v>
      </c>
      <c r="C108" s="2">
        <v>902</v>
      </c>
      <c r="D108" s="37" t="s">
        <v>2</v>
      </c>
      <c r="E108" s="37" t="s">
        <v>40</v>
      </c>
      <c r="F108" s="37" t="s">
        <v>8</v>
      </c>
      <c r="G108" s="38">
        <v>1</v>
      </c>
      <c r="H108" s="37" t="s">
        <v>4</v>
      </c>
      <c r="I108" s="37" t="s">
        <v>572</v>
      </c>
      <c r="J108" s="39" t="s">
        <v>51</v>
      </c>
      <c r="K108" s="6">
        <f>559.5+559.5</f>
        <v>1119</v>
      </c>
    </row>
    <row r="109" spans="1:11" s="26" customFormat="1" x14ac:dyDescent="0.25">
      <c r="A109" s="104"/>
      <c r="B109" s="1" t="s">
        <v>234</v>
      </c>
      <c r="C109" s="2">
        <v>902</v>
      </c>
      <c r="D109" s="37" t="s">
        <v>2</v>
      </c>
      <c r="E109" s="37" t="s">
        <v>40</v>
      </c>
      <c r="F109" s="37" t="s">
        <v>8</v>
      </c>
      <c r="G109" s="38">
        <v>1</v>
      </c>
      <c r="H109" s="37" t="s">
        <v>4</v>
      </c>
      <c r="I109" s="37" t="s">
        <v>233</v>
      </c>
      <c r="J109" s="37"/>
      <c r="K109" s="6">
        <f>K110</f>
        <v>334.9</v>
      </c>
    </row>
    <row r="110" spans="1:11" s="26" customFormat="1" ht="31.2" x14ac:dyDescent="0.25">
      <c r="A110" s="104"/>
      <c r="B110" s="1" t="s">
        <v>123</v>
      </c>
      <c r="C110" s="2">
        <v>902</v>
      </c>
      <c r="D110" s="37" t="s">
        <v>2</v>
      </c>
      <c r="E110" s="37" t="s">
        <v>40</v>
      </c>
      <c r="F110" s="37" t="s">
        <v>8</v>
      </c>
      <c r="G110" s="38">
        <v>1</v>
      </c>
      <c r="H110" s="37" t="s">
        <v>4</v>
      </c>
      <c r="I110" s="37" t="s">
        <v>233</v>
      </c>
      <c r="J110" s="37" t="s">
        <v>49</v>
      </c>
      <c r="K110" s="6">
        <v>334.9</v>
      </c>
    </row>
    <row r="111" spans="1:11" s="26" customFormat="1" ht="31.2" x14ac:dyDescent="0.25">
      <c r="A111" s="104"/>
      <c r="B111" s="1" t="s">
        <v>238</v>
      </c>
      <c r="C111" s="2">
        <v>902</v>
      </c>
      <c r="D111" s="37" t="s">
        <v>2</v>
      </c>
      <c r="E111" s="37" t="s">
        <v>40</v>
      </c>
      <c r="F111" s="37" t="s">
        <v>8</v>
      </c>
      <c r="G111" s="38">
        <v>1</v>
      </c>
      <c r="H111" s="37" t="s">
        <v>4</v>
      </c>
      <c r="I111" s="37" t="s">
        <v>239</v>
      </c>
      <c r="J111" s="37"/>
      <c r="K111" s="6">
        <f>SUM(K112)</f>
        <v>2480.3000000000002</v>
      </c>
    </row>
    <row r="112" spans="1:11" s="26" customFormat="1" ht="31.2" x14ac:dyDescent="0.25">
      <c r="A112" s="104"/>
      <c r="B112" s="1" t="s">
        <v>123</v>
      </c>
      <c r="C112" s="2">
        <v>902</v>
      </c>
      <c r="D112" s="37" t="s">
        <v>2</v>
      </c>
      <c r="E112" s="37" t="s">
        <v>40</v>
      </c>
      <c r="F112" s="37" t="s">
        <v>8</v>
      </c>
      <c r="G112" s="38">
        <v>1</v>
      </c>
      <c r="H112" s="37" t="s">
        <v>4</v>
      </c>
      <c r="I112" s="37" t="s">
        <v>239</v>
      </c>
      <c r="J112" s="37" t="s">
        <v>49</v>
      </c>
      <c r="K112" s="6">
        <f>2240.1+63.4+(176.8)</f>
        <v>2480.3000000000002</v>
      </c>
    </row>
    <row r="113" spans="1:11" s="26" customFormat="1" x14ac:dyDescent="0.25">
      <c r="A113" s="104"/>
      <c r="B113" s="1" t="s">
        <v>656</v>
      </c>
      <c r="C113" s="76">
        <v>902</v>
      </c>
      <c r="D113" s="37" t="s">
        <v>2</v>
      </c>
      <c r="E113" s="37" t="s">
        <v>40</v>
      </c>
      <c r="F113" s="37" t="s">
        <v>8</v>
      </c>
      <c r="G113" s="37" t="s">
        <v>90</v>
      </c>
      <c r="H113" s="37" t="s">
        <v>4</v>
      </c>
      <c r="I113" s="37" t="s">
        <v>657</v>
      </c>
      <c r="J113" s="75"/>
      <c r="K113" s="6">
        <f>K114</f>
        <v>137.5</v>
      </c>
    </row>
    <row r="114" spans="1:11" s="26" customFormat="1" ht="31.2" x14ac:dyDescent="0.25">
      <c r="A114" s="104"/>
      <c r="B114" s="1" t="s">
        <v>123</v>
      </c>
      <c r="C114" s="76">
        <v>902</v>
      </c>
      <c r="D114" s="37" t="s">
        <v>2</v>
      </c>
      <c r="E114" s="37" t="s">
        <v>40</v>
      </c>
      <c r="F114" s="37" t="s">
        <v>8</v>
      </c>
      <c r="G114" s="37" t="s">
        <v>90</v>
      </c>
      <c r="H114" s="37" t="s">
        <v>4</v>
      </c>
      <c r="I114" s="37" t="s">
        <v>657</v>
      </c>
      <c r="J114" s="75" t="s">
        <v>49</v>
      </c>
      <c r="K114" s="6">
        <v>137.5</v>
      </c>
    </row>
    <row r="115" spans="1:11" s="26" customFormat="1" ht="31.2" x14ac:dyDescent="0.25">
      <c r="A115" s="104"/>
      <c r="B115" s="1" t="s">
        <v>161</v>
      </c>
      <c r="C115" s="2">
        <v>902</v>
      </c>
      <c r="D115" s="37" t="s">
        <v>2</v>
      </c>
      <c r="E115" s="37" t="s">
        <v>40</v>
      </c>
      <c r="F115" s="37" t="s">
        <v>70</v>
      </c>
      <c r="G115" s="38"/>
      <c r="H115" s="37"/>
      <c r="I115" s="37"/>
      <c r="J115" s="37"/>
      <c r="K115" s="6">
        <f>K116+K120+K124</f>
        <v>22207.199999999997</v>
      </c>
    </row>
    <row r="116" spans="1:11" s="26" customFormat="1" ht="46.8" x14ac:dyDescent="0.25">
      <c r="A116" s="104"/>
      <c r="B116" s="1" t="s">
        <v>336</v>
      </c>
      <c r="C116" s="2">
        <v>902</v>
      </c>
      <c r="D116" s="37" t="s">
        <v>2</v>
      </c>
      <c r="E116" s="37" t="s">
        <v>40</v>
      </c>
      <c r="F116" s="37" t="s">
        <v>70</v>
      </c>
      <c r="G116" s="37" t="s">
        <v>90</v>
      </c>
      <c r="H116" s="37"/>
      <c r="I116" s="37"/>
      <c r="J116" s="37"/>
      <c r="K116" s="6">
        <f>K117</f>
        <v>619</v>
      </c>
    </row>
    <row r="117" spans="1:11" s="26" customFormat="1" ht="46.8" x14ac:dyDescent="0.25">
      <c r="A117" s="104"/>
      <c r="B117" s="1" t="s">
        <v>337</v>
      </c>
      <c r="C117" s="2">
        <v>902</v>
      </c>
      <c r="D117" s="37" t="s">
        <v>2</v>
      </c>
      <c r="E117" s="37" t="s">
        <v>40</v>
      </c>
      <c r="F117" s="37" t="s">
        <v>70</v>
      </c>
      <c r="G117" s="37" t="s">
        <v>90</v>
      </c>
      <c r="H117" s="37" t="s">
        <v>2</v>
      </c>
      <c r="I117" s="37"/>
      <c r="J117" s="37"/>
      <c r="K117" s="6">
        <f>K118</f>
        <v>619</v>
      </c>
    </row>
    <row r="118" spans="1:11" s="26" customFormat="1" ht="78" x14ac:dyDescent="0.25">
      <c r="A118" s="104"/>
      <c r="B118" s="1" t="s">
        <v>338</v>
      </c>
      <c r="C118" s="2">
        <v>902</v>
      </c>
      <c r="D118" s="37" t="s">
        <v>2</v>
      </c>
      <c r="E118" s="37" t="s">
        <v>40</v>
      </c>
      <c r="F118" s="37" t="s">
        <v>70</v>
      </c>
      <c r="G118" s="37" t="s">
        <v>90</v>
      </c>
      <c r="H118" s="37" t="s">
        <v>2</v>
      </c>
      <c r="I118" s="37" t="s">
        <v>284</v>
      </c>
      <c r="J118" s="37"/>
      <c r="K118" s="6">
        <f>K119</f>
        <v>619</v>
      </c>
    </row>
    <row r="119" spans="1:11" s="26" customFormat="1" ht="31.2" x14ac:dyDescent="0.25">
      <c r="A119" s="104"/>
      <c r="B119" s="1" t="s">
        <v>123</v>
      </c>
      <c r="C119" s="2">
        <v>902</v>
      </c>
      <c r="D119" s="37" t="s">
        <v>2</v>
      </c>
      <c r="E119" s="37" t="s">
        <v>40</v>
      </c>
      <c r="F119" s="37" t="s">
        <v>70</v>
      </c>
      <c r="G119" s="37" t="s">
        <v>90</v>
      </c>
      <c r="H119" s="37" t="s">
        <v>2</v>
      </c>
      <c r="I119" s="37" t="s">
        <v>284</v>
      </c>
      <c r="J119" s="37" t="s">
        <v>49</v>
      </c>
      <c r="K119" s="6">
        <v>619</v>
      </c>
    </row>
    <row r="120" spans="1:11" s="26" customFormat="1" ht="31.2" x14ac:dyDescent="0.25">
      <c r="A120" s="104"/>
      <c r="B120" s="1" t="s">
        <v>339</v>
      </c>
      <c r="C120" s="2">
        <v>902</v>
      </c>
      <c r="D120" s="37" t="s">
        <v>2</v>
      </c>
      <c r="E120" s="37" t="s">
        <v>40</v>
      </c>
      <c r="F120" s="37" t="s">
        <v>70</v>
      </c>
      <c r="G120" s="38">
        <v>2</v>
      </c>
      <c r="H120" s="37"/>
      <c r="I120" s="37"/>
      <c r="J120" s="37"/>
      <c r="K120" s="6">
        <f>K121</f>
        <v>12106.499999999998</v>
      </c>
    </row>
    <row r="121" spans="1:11" s="26" customFormat="1" ht="65.25" customHeight="1" x14ac:dyDescent="0.25">
      <c r="A121" s="104"/>
      <c r="B121" s="1" t="s">
        <v>340</v>
      </c>
      <c r="C121" s="2">
        <v>902</v>
      </c>
      <c r="D121" s="37" t="s">
        <v>2</v>
      </c>
      <c r="E121" s="37" t="s">
        <v>40</v>
      </c>
      <c r="F121" s="37" t="s">
        <v>70</v>
      </c>
      <c r="G121" s="38">
        <v>2</v>
      </c>
      <c r="H121" s="37" t="s">
        <v>2</v>
      </c>
      <c r="I121" s="37" t="s">
        <v>156</v>
      </c>
      <c r="J121" s="37"/>
      <c r="K121" s="6">
        <f>SUM(K122+K123)</f>
        <v>12106.499999999998</v>
      </c>
    </row>
    <row r="122" spans="1:11" s="26" customFormat="1" ht="31.2" x14ac:dyDescent="0.25">
      <c r="A122" s="104"/>
      <c r="B122" s="1" t="s">
        <v>123</v>
      </c>
      <c r="C122" s="2">
        <v>902</v>
      </c>
      <c r="D122" s="37" t="s">
        <v>2</v>
      </c>
      <c r="E122" s="37" t="s">
        <v>40</v>
      </c>
      <c r="F122" s="37" t="s">
        <v>70</v>
      </c>
      <c r="G122" s="38">
        <v>2</v>
      </c>
      <c r="H122" s="37" t="s">
        <v>2</v>
      </c>
      <c r="I122" s="37" t="s">
        <v>156</v>
      </c>
      <c r="J122" s="37" t="s">
        <v>49</v>
      </c>
      <c r="K122" s="6">
        <f>7368.9-34.5+5600-250-552.2-60.2</f>
        <v>12071.999999999998</v>
      </c>
    </row>
    <row r="123" spans="1:11" s="26" customFormat="1" x14ac:dyDescent="0.25">
      <c r="A123" s="104"/>
      <c r="B123" s="1" t="s">
        <v>55</v>
      </c>
      <c r="C123" s="2">
        <v>902</v>
      </c>
      <c r="D123" s="37" t="s">
        <v>2</v>
      </c>
      <c r="E123" s="37" t="s">
        <v>40</v>
      </c>
      <c r="F123" s="37" t="s">
        <v>70</v>
      </c>
      <c r="G123" s="38">
        <v>2</v>
      </c>
      <c r="H123" s="37" t="s">
        <v>2</v>
      </c>
      <c r="I123" s="37" t="s">
        <v>156</v>
      </c>
      <c r="J123" s="37" t="s">
        <v>56</v>
      </c>
      <c r="K123" s="6">
        <v>34.5</v>
      </c>
    </row>
    <row r="124" spans="1:11" s="26" customFormat="1" ht="46.8" x14ac:dyDescent="0.25">
      <c r="A124" s="104"/>
      <c r="B124" s="1" t="s">
        <v>341</v>
      </c>
      <c r="C124" s="2">
        <v>902</v>
      </c>
      <c r="D124" s="37" t="s">
        <v>2</v>
      </c>
      <c r="E124" s="37" t="s">
        <v>40</v>
      </c>
      <c r="F124" s="37" t="s">
        <v>70</v>
      </c>
      <c r="G124" s="37" t="s">
        <v>129</v>
      </c>
      <c r="H124" s="37"/>
      <c r="I124" s="37"/>
      <c r="J124" s="37"/>
      <c r="K124" s="6">
        <f>SUM(K125)</f>
        <v>9481.7000000000007</v>
      </c>
    </row>
    <row r="125" spans="1:11" s="26" customFormat="1" ht="31.2" x14ac:dyDescent="0.25">
      <c r="A125" s="104"/>
      <c r="B125" s="1" t="s">
        <v>188</v>
      </c>
      <c r="C125" s="2">
        <v>902</v>
      </c>
      <c r="D125" s="37" t="s">
        <v>2</v>
      </c>
      <c r="E125" s="37" t="s">
        <v>40</v>
      </c>
      <c r="F125" s="37" t="s">
        <v>70</v>
      </c>
      <c r="G125" s="37" t="s">
        <v>129</v>
      </c>
      <c r="H125" s="37" t="s">
        <v>2</v>
      </c>
      <c r="I125" s="37"/>
      <c r="J125" s="37"/>
      <c r="K125" s="6">
        <f>SUM(K126)</f>
        <v>9481.7000000000007</v>
      </c>
    </row>
    <row r="126" spans="1:11" s="26" customFormat="1" ht="79.5" customHeight="1" x14ac:dyDescent="0.25">
      <c r="A126" s="104"/>
      <c r="B126" s="1" t="s">
        <v>228</v>
      </c>
      <c r="C126" s="2">
        <v>902</v>
      </c>
      <c r="D126" s="37" t="s">
        <v>2</v>
      </c>
      <c r="E126" s="37" t="s">
        <v>40</v>
      </c>
      <c r="F126" s="37" t="s">
        <v>70</v>
      </c>
      <c r="G126" s="37" t="s">
        <v>129</v>
      </c>
      <c r="H126" s="37" t="s">
        <v>2</v>
      </c>
      <c r="I126" s="37" t="s">
        <v>189</v>
      </c>
      <c r="J126" s="37"/>
      <c r="K126" s="6">
        <f>K127+K128</f>
        <v>9481.7000000000007</v>
      </c>
    </row>
    <row r="127" spans="1:11" s="26" customFormat="1" ht="31.2" x14ac:dyDescent="0.25">
      <c r="A127" s="104"/>
      <c r="B127" s="1" t="s">
        <v>123</v>
      </c>
      <c r="C127" s="2">
        <v>902</v>
      </c>
      <c r="D127" s="37" t="s">
        <v>2</v>
      </c>
      <c r="E127" s="37" t="s">
        <v>40</v>
      </c>
      <c r="F127" s="37" t="s">
        <v>70</v>
      </c>
      <c r="G127" s="37" t="s">
        <v>129</v>
      </c>
      <c r="H127" s="37" t="s">
        <v>2</v>
      </c>
      <c r="I127" s="37" t="s">
        <v>189</v>
      </c>
      <c r="J127" s="37" t="s">
        <v>49</v>
      </c>
      <c r="K127" s="6"/>
    </row>
    <row r="128" spans="1:11" s="26" customFormat="1" ht="31.2" x14ac:dyDescent="0.25">
      <c r="A128" s="104"/>
      <c r="B128" s="43" t="s">
        <v>121</v>
      </c>
      <c r="C128" s="2">
        <v>902</v>
      </c>
      <c r="D128" s="37" t="s">
        <v>2</v>
      </c>
      <c r="E128" s="37" t="s">
        <v>40</v>
      </c>
      <c r="F128" s="37" t="s">
        <v>70</v>
      </c>
      <c r="G128" s="37" t="s">
        <v>129</v>
      </c>
      <c r="H128" s="37" t="s">
        <v>2</v>
      </c>
      <c r="I128" s="37" t="s">
        <v>189</v>
      </c>
      <c r="J128" s="37" t="s">
        <v>59</v>
      </c>
      <c r="K128" s="6">
        <v>9481.7000000000007</v>
      </c>
    </row>
    <row r="129" spans="1:11" s="26" customFormat="1" ht="31.2" x14ac:dyDescent="0.25">
      <c r="A129" s="104"/>
      <c r="B129" s="40" t="s">
        <v>196</v>
      </c>
      <c r="C129" s="2">
        <v>902</v>
      </c>
      <c r="D129" s="37" t="s">
        <v>2</v>
      </c>
      <c r="E129" s="37" t="s">
        <v>40</v>
      </c>
      <c r="F129" s="37" t="s">
        <v>40</v>
      </c>
      <c r="G129" s="37"/>
      <c r="H129" s="37"/>
      <c r="I129" s="37"/>
      <c r="J129" s="37"/>
      <c r="K129" s="6">
        <f>K130</f>
        <v>498</v>
      </c>
    </row>
    <row r="130" spans="1:11" s="26" customFormat="1" x14ac:dyDescent="0.25">
      <c r="A130" s="104"/>
      <c r="B130" s="40" t="s">
        <v>164</v>
      </c>
      <c r="C130" s="2">
        <v>902</v>
      </c>
      <c r="D130" s="37" t="s">
        <v>2</v>
      </c>
      <c r="E130" s="37" t="s">
        <v>40</v>
      </c>
      <c r="F130" s="37" t="s">
        <v>40</v>
      </c>
      <c r="G130" s="37" t="s">
        <v>117</v>
      </c>
      <c r="H130" s="37"/>
      <c r="I130" s="37"/>
      <c r="J130" s="37"/>
      <c r="K130" s="6">
        <f>K131</f>
        <v>498</v>
      </c>
    </row>
    <row r="131" spans="1:11" s="26" customFormat="1" ht="31.2" x14ac:dyDescent="0.25">
      <c r="A131" s="104"/>
      <c r="B131" s="1" t="s">
        <v>195</v>
      </c>
      <c r="C131" s="2">
        <v>902</v>
      </c>
      <c r="D131" s="37" t="s">
        <v>2</v>
      </c>
      <c r="E131" s="37" t="s">
        <v>40</v>
      </c>
      <c r="F131" s="37" t="s">
        <v>40</v>
      </c>
      <c r="G131" s="37" t="s">
        <v>117</v>
      </c>
      <c r="H131" s="37" t="s">
        <v>4</v>
      </c>
      <c r="I131" s="37"/>
      <c r="J131" s="37"/>
      <c r="K131" s="6">
        <f>K132</f>
        <v>498</v>
      </c>
    </row>
    <row r="132" spans="1:11" s="26" customFormat="1" ht="48" customHeight="1" x14ac:dyDescent="0.25">
      <c r="A132" s="104"/>
      <c r="B132" s="1" t="s">
        <v>219</v>
      </c>
      <c r="C132" s="2">
        <v>902</v>
      </c>
      <c r="D132" s="37" t="s">
        <v>2</v>
      </c>
      <c r="E132" s="37" t="s">
        <v>40</v>
      </c>
      <c r="F132" s="37" t="s">
        <v>40</v>
      </c>
      <c r="G132" s="37" t="s">
        <v>117</v>
      </c>
      <c r="H132" s="37" t="s">
        <v>4</v>
      </c>
      <c r="I132" s="37" t="s">
        <v>194</v>
      </c>
      <c r="J132" s="37"/>
      <c r="K132" s="6">
        <f>K133</f>
        <v>498</v>
      </c>
    </row>
    <row r="133" spans="1:11" s="26" customFormat="1" ht="31.2" x14ac:dyDescent="0.25">
      <c r="A133" s="104"/>
      <c r="B133" s="1" t="s">
        <v>123</v>
      </c>
      <c r="C133" s="2">
        <v>902</v>
      </c>
      <c r="D133" s="37" t="s">
        <v>2</v>
      </c>
      <c r="E133" s="37" t="s">
        <v>40</v>
      </c>
      <c r="F133" s="37" t="s">
        <v>40</v>
      </c>
      <c r="G133" s="37" t="s">
        <v>117</v>
      </c>
      <c r="H133" s="37" t="s">
        <v>4</v>
      </c>
      <c r="I133" s="37" t="s">
        <v>194</v>
      </c>
      <c r="J133" s="37" t="s">
        <v>49</v>
      </c>
      <c r="K133" s="6">
        <v>498</v>
      </c>
    </row>
    <row r="134" spans="1:11" s="26" customFormat="1" ht="21" customHeight="1" x14ac:dyDescent="0.25">
      <c r="A134" s="104"/>
      <c r="B134" s="1" t="s">
        <v>552</v>
      </c>
      <c r="C134" s="2">
        <v>902</v>
      </c>
      <c r="D134" s="37" t="s">
        <v>2</v>
      </c>
      <c r="E134" s="37" t="s">
        <v>40</v>
      </c>
      <c r="F134" s="37" t="s">
        <v>92</v>
      </c>
      <c r="G134" s="37"/>
      <c r="H134" s="37"/>
      <c r="I134" s="37"/>
      <c r="J134" s="37"/>
      <c r="K134" s="6">
        <f>K135</f>
        <v>80.599999999999994</v>
      </c>
    </row>
    <row r="135" spans="1:11" s="26" customFormat="1" ht="46.8" x14ac:dyDescent="0.25">
      <c r="A135" s="104"/>
      <c r="B135" s="40" t="s">
        <v>375</v>
      </c>
      <c r="C135" s="2">
        <v>902</v>
      </c>
      <c r="D135" s="37" t="s">
        <v>2</v>
      </c>
      <c r="E135" s="37" t="s">
        <v>40</v>
      </c>
      <c r="F135" s="37" t="s">
        <v>92</v>
      </c>
      <c r="G135" s="37" t="s">
        <v>90</v>
      </c>
      <c r="H135" s="37"/>
      <c r="I135" s="37"/>
      <c r="J135" s="37"/>
      <c r="K135" s="6">
        <f>K136</f>
        <v>80.599999999999994</v>
      </c>
    </row>
    <row r="136" spans="1:11" s="26" customFormat="1" ht="31.2" x14ac:dyDescent="0.25">
      <c r="A136" s="104"/>
      <c r="B136" s="40" t="s">
        <v>374</v>
      </c>
      <c r="C136" s="2">
        <v>902</v>
      </c>
      <c r="D136" s="37" t="s">
        <v>2</v>
      </c>
      <c r="E136" s="37" t="s">
        <v>40</v>
      </c>
      <c r="F136" s="37" t="s">
        <v>92</v>
      </c>
      <c r="G136" s="37" t="s">
        <v>90</v>
      </c>
      <c r="H136" s="37" t="s">
        <v>5</v>
      </c>
      <c r="I136" s="37"/>
      <c r="J136" s="37"/>
      <c r="K136" s="6">
        <f>K137</f>
        <v>80.599999999999994</v>
      </c>
    </row>
    <row r="137" spans="1:11" s="26" customFormat="1" ht="31.2" x14ac:dyDescent="0.25">
      <c r="A137" s="104"/>
      <c r="B137" s="40" t="s">
        <v>167</v>
      </c>
      <c r="C137" s="2">
        <v>902</v>
      </c>
      <c r="D137" s="37" t="s">
        <v>2</v>
      </c>
      <c r="E137" s="37" t="s">
        <v>40</v>
      </c>
      <c r="F137" s="37" t="s">
        <v>92</v>
      </c>
      <c r="G137" s="37" t="s">
        <v>90</v>
      </c>
      <c r="H137" s="37" t="s">
        <v>5</v>
      </c>
      <c r="I137" s="37" t="s">
        <v>149</v>
      </c>
      <c r="J137" s="39"/>
      <c r="K137" s="6">
        <f>K138</f>
        <v>80.599999999999994</v>
      </c>
    </row>
    <row r="138" spans="1:11" s="26" customFormat="1" ht="31.2" x14ac:dyDescent="0.25">
      <c r="A138" s="104"/>
      <c r="B138" s="1" t="s">
        <v>123</v>
      </c>
      <c r="C138" s="2">
        <v>902</v>
      </c>
      <c r="D138" s="37" t="s">
        <v>2</v>
      </c>
      <c r="E138" s="37" t="s">
        <v>40</v>
      </c>
      <c r="F138" s="37" t="s">
        <v>92</v>
      </c>
      <c r="G138" s="37" t="s">
        <v>90</v>
      </c>
      <c r="H138" s="37" t="s">
        <v>5</v>
      </c>
      <c r="I138" s="37" t="s">
        <v>149</v>
      </c>
      <c r="J138" s="39" t="s">
        <v>49</v>
      </c>
      <c r="K138" s="6">
        <f>1.9+7.4+71.3</f>
        <v>80.599999999999994</v>
      </c>
    </row>
    <row r="139" spans="1:11" s="26" customFormat="1" x14ac:dyDescent="0.25">
      <c r="A139" s="104"/>
      <c r="B139" s="40" t="s">
        <v>344</v>
      </c>
      <c r="C139" s="2">
        <v>902</v>
      </c>
      <c r="D139" s="37" t="s">
        <v>2</v>
      </c>
      <c r="E139" s="37" t="s">
        <v>40</v>
      </c>
      <c r="F139" s="37" t="s">
        <v>83</v>
      </c>
      <c r="G139" s="38"/>
      <c r="H139" s="37"/>
      <c r="I139" s="37"/>
      <c r="J139" s="37"/>
      <c r="K139" s="6">
        <f t="shared" ref="K139:K142" si="3">SUM(K140)</f>
        <v>12475.1</v>
      </c>
    </row>
    <row r="140" spans="1:11" s="26" customFormat="1" ht="48" customHeight="1" x14ac:dyDescent="0.25">
      <c r="A140" s="104"/>
      <c r="B140" s="40" t="s">
        <v>345</v>
      </c>
      <c r="C140" s="2">
        <v>902</v>
      </c>
      <c r="D140" s="37" t="s">
        <v>2</v>
      </c>
      <c r="E140" s="37" t="s">
        <v>40</v>
      </c>
      <c r="F140" s="37" t="s">
        <v>83</v>
      </c>
      <c r="G140" s="38">
        <v>1</v>
      </c>
      <c r="H140" s="37"/>
      <c r="I140" s="37"/>
      <c r="J140" s="37"/>
      <c r="K140" s="6">
        <f t="shared" si="3"/>
        <v>12475.1</v>
      </c>
    </row>
    <row r="141" spans="1:11" s="26" customFormat="1" ht="31.2" x14ac:dyDescent="0.25">
      <c r="A141" s="104"/>
      <c r="B141" s="40" t="s">
        <v>346</v>
      </c>
      <c r="C141" s="2">
        <v>902</v>
      </c>
      <c r="D141" s="37" t="s">
        <v>2</v>
      </c>
      <c r="E141" s="37" t="s">
        <v>40</v>
      </c>
      <c r="F141" s="37" t="s">
        <v>83</v>
      </c>
      <c r="G141" s="38">
        <v>1</v>
      </c>
      <c r="H141" s="37" t="s">
        <v>2</v>
      </c>
      <c r="I141" s="37"/>
      <c r="J141" s="37"/>
      <c r="K141" s="6">
        <f t="shared" si="3"/>
        <v>12475.1</v>
      </c>
    </row>
    <row r="142" spans="1:11" s="26" customFormat="1" ht="31.2" x14ac:dyDescent="0.25">
      <c r="A142" s="104"/>
      <c r="B142" s="44" t="s">
        <v>347</v>
      </c>
      <c r="C142" s="2">
        <v>902</v>
      </c>
      <c r="D142" s="37" t="s">
        <v>2</v>
      </c>
      <c r="E142" s="37" t="s">
        <v>40</v>
      </c>
      <c r="F142" s="37" t="s">
        <v>83</v>
      </c>
      <c r="G142" s="38">
        <v>1</v>
      </c>
      <c r="H142" s="37" t="s">
        <v>2</v>
      </c>
      <c r="I142" s="37" t="s">
        <v>84</v>
      </c>
      <c r="J142" s="37"/>
      <c r="K142" s="6">
        <f t="shared" si="3"/>
        <v>12475.1</v>
      </c>
    </row>
    <row r="143" spans="1:11" s="26" customFormat="1" ht="31.2" x14ac:dyDescent="0.25">
      <c r="A143" s="104"/>
      <c r="B143" s="43" t="s">
        <v>121</v>
      </c>
      <c r="C143" s="2">
        <v>902</v>
      </c>
      <c r="D143" s="37" t="s">
        <v>2</v>
      </c>
      <c r="E143" s="37" t="s">
        <v>40</v>
      </c>
      <c r="F143" s="37" t="s">
        <v>83</v>
      </c>
      <c r="G143" s="38">
        <v>1</v>
      </c>
      <c r="H143" s="37" t="s">
        <v>2</v>
      </c>
      <c r="I143" s="37" t="s">
        <v>84</v>
      </c>
      <c r="J143" s="37" t="s">
        <v>59</v>
      </c>
      <c r="K143" s="6">
        <f>5573.1+5456.1-150-200+1796-0.1</f>
        <v>12475.1</v>
      </c>
    </row>
    <row r="144" spans="1:11" s="26" customFormat="1" ht="31.2" x14ac:dyDescent="0.25">
      <c r="A144" s="104"/>
      <c r="B144" s="40" t="s">
        <v>361</v>
      </c>
      <c r="C144" s="79">
        <v>902</v>
      </c>
      <c r="D144" s="37" t="s">
        <v>2</v>
      </c>
      <c r="E144" s="37" t="s">
        <v>40</v>
      </c>
      <c r="F144" s="37" t="s">
        <v>98</v>
      </c>
      <c r="G144" s="37"/>
      <c r="H144" s="37"/>
      <c r="I144" s="37"/>
      <c r="J144" s="37"/>
      <c r="K144" s="6">
        <f>K145</f>
        <v>1548.4</v>
      </c>
    </row>
    <row r="145" spans="1:12" s="26" customFormat="1" ht="31.2" x14ac:dyDescent="0.25">
      <c r="A145" s="104"/>
      <c r="B145" s="40" t="s">
        <v>362</v>
      </c>
      <c r="C145" s="79">
        <v>902</v>
      </c>
      <c r="D145" s="37" t="s">
        <v>2</v>
      </c>
      <c r="E145" s="37" t="s">
        <v>40</v>
      </c>
      <c r="F145" s="37" t="s">
        <v>98</v>
      </c>
      <c r="G145" s="37" t="s">
        <v>90</v>
      </c>
      <c r="H145" s="37"/>
      <c r="I145" s="37"/>
      <c r="J145" s="37"/>
      <c r="K145" s="6">
        <f>K146</f>
        <v>1548.4</v>
      </c>
    </row>
    <row r="146" spans="1:12" s="26" customFormat="1" ht="31.2" x14ac:dyDescent="0.25">
      <c r="A146" s="104"/>
      <c r="B146" s="1" t="s">
        <v>183</v>
      </c>
      <c r="C146" s="79">
        <v>902</v>
      </c>
      <c r="D146" s="37" t="s">
        <v>2</v>
      </c>
      <c r="E146" s="37" t="s">
        <v>40</v>
      </c>
      <c r="F146" s="37" t="s">
        <v>98</v>
      </c>
      <c r="G146" s="37" t="s">
        <v>90</v>
      </c>
      <c r="H146" s="37" t="s">
        <v>2</v>
      </c>
      <c r="I146" s="37"/>
      <c r="J146" s="37"/>
      <c r="K146" s="6">
        <f>K147</f>
        <v>1548.4</v>
      </c>
    </row>
    <row r="147" spans="1:12" s="26" customFormat="1" ht="31.2" x14ac:dyDescent="0.25">
      <c r="A147" s="104"/>
      <c r="B147" s="43" t="s">
        <v>659</v>
      </c>
      <c r="C147" s="79">
        <v>902</v>
      </c>
      <c r="D147" s="37" t="s">
        <v>2</v>
      </c>
      <c r="E147" s="37" t="s">
        <v>40</v>
      </c>
      <c r="F147" s="37" t="s">
        <v>98</v>
      </c>
      <c r="G147" s="37" t="s">
        <v>90</v>
      </c>
      <c r="H147" s="37" t="s">
        <v>2</v>
      </c>
      <c r="I147" s="37" t="s">
        <v>658</v>
      </c>
      <c r="J147" s="37"/>
      <c r="K147" s="6">
        <f>K148</f>
        <v>1548.4</v>
      </c>
    </row>
    <row r="148" spans="1:12" s="26" customFormat="1" x14ac:dyDescent="0.25">
      <c r="A148" s="104"/>
      <c r="B148" s="1" t="s">
        <v>55</v>
      </c>
      <c r="C148" s="79">
        <v>902</v>
      </c>
      <c r="D148" s="37" t="s">
        <v>2</v>
      </c>
      <c r="E148" s="37" t="s">
        <v>40</v>
      </c>
      <c r="F148" s="37" t="s">
        <v>98</v>
      </c>
      <c r="G148" s="37" t="s">
        <v>90</v>
      </c>
      <c r="H148" s="37" t="s">
        <v>2</v>
      </c>
      <c r="I148" s="37" t="s">
        <v>658</v>
      </c>
      <c r="J148" s="37" t="s">
        <v>56</v>
      </c>
      <c r="K148" s="6">
        <v>1548.4</v>
      </c>
      <c r="L148" s="26" t="s">
        <v>633</v>
      </c>
    </row>
    <row r="149" spans="1:12" s="26" customFormat="1" ht="39" customHeight="1" x14ac:dyDescent="0.25">
      <c r="A149" s="104"/>
      <c r="B149" s="1" t="s">
        <v>348</v>
      </c>
      <c r="C149" s="2">
        <v>902</v>
      </c>
      <c r="D149" s="37" t="s">
        <v>2</v>
      </c>
      <c r="E149" s="37" t="s">
        <v>40</v>
      </c>
      <c r="F149" s="37" t="s">
        <v>128</v>
      </c>
      <c r="G149" s="37"/>
      <c r="H149" s="37"/>
      <c r="I149" s="37"/>
      <c r="J149" s="37"/>
      <c r="K149" s="6">
        <f>K150</f>
        <v>0</v>
      </c>
    </row>
    <row r="150" spans="1:12" s="26" customFormat="1" ht="42" customHeight="1" x14ac:dyDescent="0.25">
      <c r="A150" s="104"/>
      <c r="B150" s="1" t="s">
        <v>349</v>
      </c>
      <c r="C150" s="2">
        <v>902</v>
      </c>
      <c r="D150" s="37" t="s">
        <v>2</v>
      </c>
      <c r="E150" s="37" t="s">
        <v>40</v>
      </c>
      <c r="F150" s="37" t="s">
        <v>128</v>
      </c>
      <c r="G150" s="37" t="s">
        <v>90</v>
      </c>
      <c r="H150" s="37"/>
      <c r="I150" s="37"/>
      <c r="J150" s="37"/>
      <c r="K150" s="6">
        <f>K151+K155</f>
        <v>0</v>
      </c>
    </row>
    <row r="151" spans="1:12" s="26" customFormat="1" ht="40.5" customHeight="1" x14ac:dyDescent="0.25">
      <c r="A151" s="104"/>
      <c r="B151" s="1" t="s">
        <v>174</v>
      </c>
      <c r="C151" s="2">
        <v>902</v>
      </c>
      <c r="D151" s="37" t="s">
        <v>2</v>
      </c>
      <c r="E151" s="37" t="s">
        <v>40</v>
      </c>
      <c r="F151" s="37" t="s">
        <v>128</v>
      </c>
      <c r="G151" s="37" t="s">
        <v>90</v>
      </c>
      <c r="H151" s="37" t="s">
        <v>6</v>
      </c>
      <c r="I151" s="37"/>
      <c r="J151" s="37"/>
      <c r="K151" s="6">
        <f>K152</f>
        <v>0</v>
      </c>
    </row>
    <row r="152" spans="1:12" s="26" customFormat="1" ht="45" customHeight="1" x14ac:dyDescent="0.25">
      <c r="A152" s="104"/>
      <c r="B152" s="1" t="s">
        <v>175</v>
      </c>
      <c r="C152" s="2">
        <v>902</v>
      </c>
      <c r="D152" s="37" t="s">
        <v>2</v>
      </c>
      <c r="E152" s="37" t="s">
        <v>40</v>
      </c>
      <c r="F152" s="37" t="s">
        <v>128</v>
      </c>
      <c r="G152" s="37" t="s">
        <v>90</v>
      </c>
      <c r="H152" s="37" t="s">
        <v>6</v>
      </c>
      <c r="I152" s="37" t="s">
        <v>173</v>
      </c>
      <c r="J152" s="37"/>
      <c r="K152" s="6">
        <f>K153+K154</f>
        <v>0</v>
      </c>
    </row>
    <row r="153" spans="1:12" s="26" customFormat="1" ht="52.5" customHeight="1" x14ac:dyDescent="0.25">
      <c r="A153" s="104"/>
      <c r="B153" s="1" t="s">
        <v>122</v>
      </c>
      <c r="C153" s="2">
        <v>902</v>
      </c>
      <c r="D153" s="37" t="s">
        <v>2</v>
      </c>
      <c r="E153" s="37" t="s">
        <v>40</v>
      </c>
      <c r="F153" s="37" t="s">
        <v>128</v>
      </c>
      <c r="G153" s="37" t="s">
        <v>90</v>
      </c>
      <c r="H153" s="37" t="s">
        <v>6</v>
      </c>
      <c r="I153" s="37" t="s">
        <v>173</v>
      </c>
      <c r="J153" s="37" t="s">
        <v>48</v>
      </c>
      <c r="K153" s="6"/>
    </row>
    <row r="154" spans="1:12" s="26" customFormat="1" ht="42.6" customHeight="1" x14ac:dyDescent="0.25">
      <c r="A154" s="104"/>
      <c r="B154" s="1" t="s">
        <v>123</v>
      </c>
      <c r="C154" s="2">
        <v>902</v>
      </c>
      <c r="D154" s="37" t="s">
        <v>2</v>
      </c>
      <c r="E154" s="37" t="s">
        <v>40</v>
      </c>
      <c r="F154" s="37" t="s">
        <v>128</v>
      </c>
      <c r="G154" s="37" t="s">
        <v>90</v>
      </c>
      <c r="H154" s="37" t="s">
        <v>6</v>
      </c>
      <c r="I154" s="37" t="s">
        <v>173</v>
      </c>
      <c r="J154" s="37" t="s">
        <v>49</v>
      </c>
      <c r="K154" s="6"/>
    </row>
    <row r="155" spans="1:12" s="26" customFormat="1" ht="58.2" customHeight="1" x14ac:dyDescent="0.25">
      <c r="A155" s="104"/>
      <c r="B155" s="1" t="s">
        <v>350</v>
      </c>
      <c r="C155" s="2">
        <v>902</v>
      </c>
      <c r="D155" s="37" t="s">
        <v>2</v>
      </c>
      <c r="E155" s="37" t="s">
        <v>40</v>
      </c>
      <c r="F155" s="37" t="s">
        <v>128</v>
      </c>
      <c r="G155" s="37" t="s">
        <v>90</v>
      </c>
      <c r="H155" s="37" t="s">
        <v>7</v>
      </c>
      <c r="I155" s="37"/>
      <c r="J155" s="37"/>
      <c r="K155" s="6">
        <f>K156</f>
        <v>0</v>
      </c>
    </row>
    <row r="156" spans="1:12" s="26" customFormat="1" ht="24" customHeight="1" x14ac:dyDescent="0.25">
      <c r="A156" s="104"/>
      <c r="B156" s="3" t="s">
        <v>237</v>
      </c>
      <c r="C156" s="2">
        <v>902</v>
      </c>
      <c r="D156" s="37" t="s">
        <v>2</v>
      </c>
      <c r="E156" s="37" t="s">
        <v>40</v>
      </c>
      <c r="F156" s="37" t="s">
        <v>128</v>
      </c>
      <c r="G156" s="37" t="s">
        <v>90</v>
      </c>
      <c r="H156" s="37" t="s">
        <v>7</v>
      </c>
      <c r="I156" s="37" t="s">
        <v>236</v>
      </c>
      <c r="J156" s="37"/>
      <c r="K156" s="6">
        <f>K157</f>
        <v>0</v>
      </c>
    </row>
    <row r="157" spans="1:12" s="26" customFormat="1" ht="39.6" customHeight="1" x14ac:dyDescent="0.25">
      <c r="A157" s="104"/>
      <c r="B157" s="1" t="s">
        <v>123</v>
      </c>
      <c r="C157" s="2">
        <v>902</v>
      </c>
      <c r="D157" s="37" t="s">
        <v>2</v>
      </c>
      <c r="E157" s="37" t="s">
        <v>40</v>
      </c>
      <c r="F157" s="37" t="s">
        <v>128</v>
      </c>
      <c r="G157" s="37" t="s">
        <v>90</v>
      </c>
      <c r="H157" s="37" t="s">
        <v>7</v>
      </c>
      <c r="I157" s="37" t="s">
        <v>236</v>
      </c>
      <c r="J157" s="37" t="s">
        <v>49</v>
      </c>
      <c r="K157" s="6"/>
    </row>
    <row r="158" spans="1:12" s="26" customFormat="1" x14ac:dyDescent="0.25">
      <c r="A158" s="104"/>
      <c r="B158" s="1" t="s">
        <v>67</v>
      </c>
      <c r="C158" s="2">
        <v>902</v>
      </c>
      <c r="D158" s="37" t="s">
        <v>2</v>
      </c>
      <c r="E158" s="37" t="s">
        <v>40</v>
      </c>
      <c r="F158" s="37" t="s">
        <v>81</v>
      </c>
      <c r="G158" s="38"/>
      <c r="H158" s="37"/>
      <c r="I158" s="37"/>
      <c r="J158" s="37"/>
      <c r="K158" s="6">
        <f>SUM(K159+K164)</f>
        <v>41278.1</v>
      </c>
    </row>
    <row r="159" spans="1:12" s="26" customFormat="1" ht="31.2" x14ac:dyDescent="0.25">
      <c r="A159" s="104"/>
      <c r="B159" s="1" t="s">
        <v>330</v>
      </c>
      <c r="C159" s="2">
        <v>902</v>
      </c>
      <c r="D159" s="37" t="s">
        <v>2</v>
      </c>
      <c r="E159" s="37" t="s">
        <v>40</v>
      </c>
      <c r="F159" s="37" t="s">
        <v>81</v>
      </c>
      <c r="G159" s="38">
        <v>1</v>
      </c>
      <c r="H159" s="37"/>
      <c r="I159" s="37"/>
      <c r="J159" s="37"/>
      <c r="K159" s="6">
        <f t="shared" ref="K159" si="4">SUM(K160)</f>
        <v>4996.8999999999996</v>
      </c>
    </row>
    <row r="160" spans="1:12" s="26" customFormat="1" x14ac:dyDescent="0.25">
      <c r="A160" s="104"/>
      <c r="B160" s="1" t="s">
        <v>47</v>
      </c>
      <c r="C160" s="2">
        <v>902</v>
      </c>
      <c r="D160" s="37" t="s">
        <v>2</v>
      </c>
      <c r="E160" s="37" t="s">
        <v>40</v>
      </c>
      <c r="F160" s="37" t="s">
        <v>81</v>
      </c>
      <c r="G160" s="38">
        <v>1</v>
      </c>
      <c r="H160" s="37" t="s">
        <v>77</v>
      </c>
      <c r="I160" s="37" t="s">
        <v>78</v>
      </c>
      <c r="J160" s="37"/>
      <c r="K160" s="6">
        <f>SUM(K161:K163)</f>
        <v>4996.8999999999996</v>
      </c>
    </row>
    <row r="161" spans="1:11" s="26" customFormat="1" ht="51" customHeight="1" x14ac:dyDescent="0.25">
      <c r="A161" s="104"/>
      <c r="B161" s="1" t="s">
        <v>122</v>
      </c>
      <c r="C161" s="2">
        <v>902</v>
      </c>
      <c r="D161" s="37" t="s">
        <v>2</v>
      </c>
      <c r="E161" s="37" t="s">
        <v>40</v>
      </c>
      <c r="F161" s="37" t="s">
        <v>81</v>
      </c>
      <c r="G161" s="38">
        <v>1</v>
      </c>
      <c r="H161" s="37" t="s">
        <v>77</v>
      </c>
      <c r="I161" s="37" t="s">
        <v>78</v>
      </c>
      <c r="J161" s="37" t="s">
        <v>48</v>
      </c>
      <c r="K161" s="6">
        <v>4897.3999999999996</v>
      </c>
    </row>
    <row r="162" spans="1:11" s="26" customFormat="1" ht="31.2" x14ac:dyDescent="0.25">
      <c r="A162" s="104"/>
      <c r="B162" s="1" t="s">
        <v>123</v>
      </c>
      <c r="C162" s="2">
        <v>902</v>
      </c>
      <c r="D162" s="37" t="s">
        <v>2</v>
      </c>
      <c r="E162" s="37" t="s">
        <v>40</v>
      </c>
      <c r="F162" s="37" t="s">
        <v>81</v>
      </c>
      <c r="G162" s="38">
        <v>1</v>
      </c>
      <c r="H162" s="37" t="s">
        <v>77</v>
      </c>
      <c r="I162" s="37" t="s">
        <v>78</v>
      </c>
      <c r="J162" s="37" t="s">
        <v>49</v>
      </c>
      <c r="K162" s="6">
        <v>39.4</v>
      </c>
    </row>
    <row r="163" spans="1:11" s="26" customFormat="1" x14ac:dyDescent="0.25">
      <c r="A163" s="104"/>
      <c r="B163" s="1" t="s">
        <v>50</v>
      </c>
      <c r="C163" s="76">
        <v>902</v>
      </c>
      <c r="D163" s="37" t="s">
        <v>2</v>
      </c>
      <c r="E163" s="37" t="s">
        <v>40</v>
      </c>
      <c r="F163" s="37" t="s">
        <v>81</v>
      </c>
      <c r="G163" s="74">
        <v>1</v>
      </c>
      <c r="H163" s="37" t="s">
        <v>77</v>
      </c>
      <c r="I163" s="37" t="s">
        <v>78</v>
      </c>
      <c r="J163" s="37" t="s">
        <v>51</v>
      </c>
      <c r="K163" s="6">
        <v>60.1</v>
      </c>
    </row>
    <row r="164" spans="1:11" s="26" customFormat="1" x14ac:dyDescent="0.25">
      <c r="A164" s="104"/>
      <c r="B164" s="1" t="s">
        <v>208</v>
      </c>
      <c r="C164" s="2">
        <v>902</v>
      </c>
      <c r="D164" s="37" t="s">
        <v>2</v>
      </c>
      <c r="E164" s="37" t="s">
        <v>40</v>
      </c>
      <c r="F164" s="37" t="s">
        <v>81</v>
      </c>
      <c r="G164" s="37" t="s">
        <v>95</v>
      </c>
      <c r="H164" s="37"/>
      <c r="I164" s="37"/>
      <c r="J164" s="37"/>
      <c r="K164" s="6">
        <f>K165</f>
        <v>36281.199999999997</v>
      </c>
    </row>
    <row r="165" spans="1:11" s="26" customFormat="1" x14ac:dyDescent="0.25">
      <c r="A165" s="104"/>
      <c r="B165" s="1" t="s">
        <v>208</v>
      </c>
      <c r="C165" s="2">
        <v>902</v>
      </c>
      <c r="D165" s="37" t="s">
        <v>2</v>
      </c>
      <c r="E165" s="37" t="s">
        <v>40</v>
      </c>
      <c r="F165" s="37" t="s">
        <v>81</v>
      </c>
      <c r="G165" s="37" t="s">
        <v>95</v>
      </c>
      <c r="H165" s="37" t="s">
        <v>77</v>
      </c>
      <c r="I165" s="37" t="s">
        <v>207</v>
      </c>
      <c r="J165" s="37"/>
      <c r="K165" s="6">
        <f>K167+K166</f>
        <v>36281.199999999997</v>
      </c>
    </row>
    <row r="166" spans="1:11" s="26" customFormat="1" ht="31.2" x14ac:dyDescent="0.25">
      <c r="A166" s="104"/>
      <c r="B166" s="1" t="s">
        <v>123</v>
      </c>
      <c r="C166" s="2">
        <v>902</v>
      </c>
      <c r="D166" s="37" t="s">
        <v>2</v>
      </c>
      <c r="E166" s="37" t="s">
        <v>40</v>
      </c>
      <c r="F166" s="37" t="s">
        <v>81</v>
      </c>
      <c r="G166" s="37" t="s">
        <v>95</v>
      </c>
      <c r="H166" s="37" t="s">
        <v>77</v>
      </c>
      <c r="I166" s="37" t="s">
        <v>207</v>
      </c>
      <c r="J166" s="37" t="s">
        <v>49</v>
      </c>
      <c r="K166" s="6">
        <f>1479.7+113.2+(346.6)+(185.9+120.3+219.6)</f>
        <v>2465.3000000000002</v>
      </c>
    </row>
    <row r="167" spans="1:11" s="26" customFormat="1" x14ac:dyDescent="0.25">
      <c r="A167" s="104"/>
      <c r="B167" s="1" t="s">
        <v>50</v>
      </c>
      <c r="C167" s="2">
        <v>902</v>
      </c>
      <c r="D167" s="37" t="s">
        <v>2</v>
      </c>
      <c r="E167" s="37" t="s">
        <v>40</v>
      </c>
      <c r="F167" s="37" t="s">
        <v>81</v>
      </c>
      <c r="G167" s="37" t="s">
        <v>95</v>
      </c>
      <c r="H167" s="37" t="s">
        <v>77</v>
      </c>
      <c r="I167" s="37" t="s">
        <v>207</v>
      </c>
      <c r="J167" s="37" t="s">
        <v>51</v>
      </c>
      <c r="K167" s="6">
        <f>50+54.8+1517.3+852.9+58.9+375.2-1479.7+3382.6+252.8+13744.3+795.6+8342.3+1718.2+1467.2-505.5-1306.1+88.3-88.3+2099.5+232+0.1+100+(90+27.9+90+8.2+100)+(30+6+1+1+3+1+138.3+148.3+22.4+17.4+433+1+1+1+3+1+1+1+1)+10+3+4+1+1+1+1+(306.7+79.8+14.5+229.2+91.3+40.9+138.6)+6+2+2+4</f>
        <v>33815.899999999994</v>
      </c>
    </row>
    <row r="168" spans="1:11" s="26" customFormat="1" x14ac:dyDescent="0.25">
      <c r="A168" s="104"/>
      <c r="B168" s="1" t="s">
        <v>11</v>
      </c>
      <c r="C168" s="2">
        <v>902</v>
      </c>
      <c r="D168" s="37" t="s">
        <v>4</v>
      </c>
      <c r="E168" s="37"/>
      <c r="F168" s="37"/>
      <c r="G168" s="38"/>
      <c r="H168" s="37"/>
      <c r="I168" s="37"/>
      <c r="J168" s="37"/>
      <c r="K168" s="6">
        <f>SUM(K169+K181)</f>
        <v>6972.4999999999991</v>
      </c>
    </row>
    <row r="169" spans="1:11" s="26" customFormat="1" x14ac:dyDescent="0.25">
      <c r="A169" s="104"/>
      <c r="B169" s="1" t="s">
        <v>419</v>
      </c>
      <c r="C169" s="2">
        <v>902</v>
      </c>
      <c r="D169" s="37" t="s">
        <v>4</v>
      </c>
      <c r="E169" s="37" t="s">
        <v>5</v>
      </c>
      <c r="F169" s="37"/>
      <c r="G169" s="38"/>
      <c r="H169" s="37"/>
      <c r="I169" s="37"/>
      <c r="J169" s="37"/>
      <c r="K169" s="6">
        <f>SUM(K170+K175)</f>
        <v>6737.0999999999995</v>
      </c>
    </row>
    <row r="170" spans="1:11" s="26" customFormat="1" ht="31.2" x14ac:dyDescent="0.25">
      <c r="A170" s="104"/>
      <c r="B170" s="40" t="s">
        <v>334</v>
      </c>
      <c r="C170" s="2">
        <v>902</v>
      </c>
      <c r="D170" s="37" t="s">
        <v>4</v>
      </c>
      <c r="E170" s="37" t="s">
        <v>5</v>
      </c>
      <c r="F170" s="37" t="s">
        <v>8</v>
      </c>
      <c r="G170" s="38"/>
      <c r="H170" s="37"/>
      <c r="I170" s="37"/>
      <c r="J170" s="37"/>
      <c r="K170" s="6">
        <f>SUM(K171)</f>
        <v>0</v>
      </c>
    </row>
    <row r="171" spans="1:11" s="26" customFormat="1" ht="31.2" x14ac:dyDescent="0.25">
      <c r="A171" s="104"/>
      <c r="B171" s="40" t="s">
        <v>335</v>
      </c>
      <c r="C171" s="2">
        <v>902</v>
      </c>
      <c r="D171" s="37" t="s">
        <v>4</v>
      </c>
      <c r="E171" s="37" t="s">
        <v>5</v>
      </c>
      <c r="F171" s="37" t="s">
        <v>8</v>
      </c>
      <c r="G171" s="38">
        <v>1</v>
      </c>
      <c r="H171" s="37"/>
      <c r="I171" s="37"/>
      <c r="J171" s="37"/>
      <c r="K171" s="6">
        <f>SUM(K172)</f>
        <v>0</v>
      </c>
    </row>
    <row r="172" spans="1:11" s="26" customFormat="1" x14ac:dyDescent="0.25">
      <c r="A172" s="104"/>
      <c r="B172" s="1" t="s">
        <v>475</v>
      </c>
      <c r="C172" s="2">
        <v>902</v>
      </c>
      <c r="D172" s="37" t="s">
        <v>4</v>
      </c>
      <c r="E172" s="37" t="s">
        <v>5</v>
      </c>
      <c r="F172" s="37" t="s">
        <v>8</v>
      </c>
      <c r="G172" s="38">
        <v>1</v>
      </c>
      <c r="H172" s="37" t="s">
        <v>2</v>
      </c>
      <c r="I172" s="37"/>
      <c r="J172" s="37"/>
      <c r="K172" s="6">
        <f>SUM(K173)</f>
        <v>0</v>
      </c>
    </row>
    <row r="173" spans="1:11" s="26" customFormat="1" ht="31.2" x14ac:dyDescent="0.25">
      <c r="A173" s="104"/>
      <c r="B173" s="40" t="s">
        <v>420</v>
      </c>
      <c r="C173" s="2">
        <v>902</v>
      </c>
      <c r="D173" s="37" t="s">
        <v>4</v>
      </c>
      <c r="E173" s="37" t="s">
        <v>5</v>
      </c>
      <c r="F173" s="37" t="s">
        <v>8</v>
      </c>
      <c r="G173" s="38">
        <v>1</v>
      </c>
      <c r="H173" s="37" t="s">
        <v>2</v>
      </c>
      <c r="I173" s="37" t="s">
        <v>418</v>
      </c>
      <c r="J173" s="37"/>
      <c r="K173" s="6">
        <f>SUM(K174)</f>
        <v>0</v>
      </c>
    </row>
    <row r="174" spans="1:11" s="26" customFormat="1" ht="48.75" customHeight="1" x14ac:dyDescent="0.25">
      <c r="A174" s="104"/>
      <c r="B174" s="1" t="s">
        <v>122</v>
      </c>
      <c r="C174" s="2">
        <v>902</v>
      </c>
      <c r="D174" s="37" t="s">
        <v>4</v>
      </c>
      <c r="E174" s="37" t="s">
        <v>5</v>
      </c>
      <c r="F174" s="37" t="s">
        <v>8</v>
      </c>
      <c r="G174" s="38">
        <v>1</v>
      </c>
      <c r="H174" s="37" t="s">
        <v>2</v>
      </c>
      <c r="I174" s="37" t="s">
        <v>418</v>
      </c>
      <c r="J174" s="37" t="s">
        <v>48</v>
      </c>
      <c r="K174" s="6">
        <f>5028.9-4635.9-393</f>
        <v>0</v>
      </c>
    </row>
    <row r="175" spans="1:11" s="26" customFormat="1" ht="25.2" customHeight="1" x14ac:dyDescent="0.25">
      <c r="A175" s="104"/>
      <c r="B175" s="1" t="s">
        <v>67</v>
      </c>
      <c r="C175" s="2">
        <v>902</v>
      </c>
      <c r="D175" s="37" t="s">
        <v>4</v>
      </c>
      <c r="E175" s="37" t="s">
        <v>5</v>
      </c>
      <c r="F175" s="37" t="s">
        <v>81</v>
      </c>
      <c r="G175" s="38"/>
      <c r="H175" s="37"/>
      <c r="I175" s="37"/>
      <c r="J175" s="37"/>
      <c r="K175" s="6">
        <f>K176</f>
        <v>6737.0999999999995</v>
      </c>
    </row>
    <row r="176" spans="1:11" s="26" customFormat="1" ht="25.2" customHeight="1" x14ac:dyDescent="0.25">
      <c r="A176" s="104"/>
      <c r="B176" s="1" t="s">
        <v>52</v>
      </c>
      <c r="C176" s="2">
        <v>902</v>
      </c>
      <c r="D176" s="37" t="s">
        <v>4</v>
      </c>
      <c r="E176" s="37" t="s">
        <v>5</v>
      </c>
      <c r="F176" s="37" t="s">
        <v>81</v>
      </c>
      <c r="G176" s="38">
        <v>2</v>
      </c>
      <c r="H176" s="37"/>
      <c r="I176" s="37"/>
      <c r="J176" s="37"/>
      <c r="K176" s="6">
        <f>K179+K177</f>
        <v>6737.0999999999995</v>
      </c>
    </row>
    <row r="177" spans="1:11" s="26" customFormat="1" ht="48" customHeight="1" x14ac:dyDescent="0.25">
      <c r="A177" s="104"/>
      <c r="B177" s="40" t="s">
        <v>597</v>
      </c>
      <c r="C177" s="2">
        <v>902</v>
      </c>
      <c r="D177" s="37" t="s">
        <v>4</v>
      </c>
      <c r="E177" s="37" t="s">
        <v>5</v>
      </c>
      <c r="F177" s="37" t="s">
        <v>81</v>
      </c>
      <c r="G177" s="37" t="s">
        <v>117</v>
      </c>
      <c r="H177" s="37" t="s">
        <v>77</v>
      </c>
      <c r="I177" s="37" t="s">
        <v>596</v>
      </c>
      <c r="J177" s="37"/>
      <c r="K177" s="6">
        <f>K178</f>
        <v>1675.2</v>
      </c>
    </row>
    <row r="178" spans="1:11" s="26" customFormat="1" ht="52.2" customHeight="1" x14ac:dyDescent="0.25">
      <c r="A178" s="104"/>
      <c r="B178" s="1" t="s">
        <v>122</v>
      </c>
      <c r="C178" s="2">
        <v>902</v>
      </c>
      <c r="D178" s="37" t="s">
        <v>4</v>
      </c>
      <c r="E178" s="37" t="s">
        <v>5</v>
      </c>
      <c r="F178" s="37" t="s">
        <v>81</v>
      </c>
      <c r="G178" s="37" t="s">
        <v>117</v>
      </c>
      <c r="H178" s="37" t="s">
        <v>77</v>
      </c>
      <c r="I178" s="37" t="s">
        <v>596</v>
      </c>
      <c r="J178" s="37" t="s">
        <v>48</v>
      </c>
      <c r="K178" s="6">
        <v>1675.2</v>
      </c>
    </row>
    <row r="179" spans="1:11" s="26" customFormat="1" ht="34.950000000000003" customHeight="1" x14ac:dyDescent="0.25">
      <c r="A179" s="104"/>
      <c r="B179" s="1" t="s">
        <v>420</v>
      </c>
      <c r="C179" s="2">
        <v>902</v>
      </c>
      <c r="D179" s="37" t="s">
        <v>4</v>
      </c>
      <c r="E179" s="37" t="s">
        <v>5</v>
      </c>
      <c r="F179" s="37" t="s">
        <v>81</v>
      </c>
      <c r="G179" s="37" t="s">
        <v>117</v>
      </c>
      <c r="H179" s="37" t="s">
        <v>77</v>
      </c>
      <c r="I179" s="37" t="s">
        <v>418</v>
      </c>
      <c r="J179" s="37"/>
      <c r="K179" s="6">
        <f>K180</f>
        <v>5061.8999999999996</v>
      </c>
    </row>
    <row r="180" spans="1:11" s="26" customFormat="1" ht="54.6" customHeight="1" x14ac:dyDescent="0.25">
      <c r="A180" s="104"/>
      <c r="B180" s="1" t="s">
        <v>122</v>
      </c>
      <c r="C180" s="2">
        <v>902</v>
      </c>
      <c r="D180" s="37" t="s">
        <v>4</v>
      </c>
      <c r="E180" s="37" t="s">
        <v>5</v>
      </c>
      <c r="F180" s="37" t="s">
        <v>81</v>
      </c>
      <c r="G180" s="37" t="s">
        <v>117</v>
      </c>
      <c r="H180" s="37" t="s">
        <v>77</v>
      </c>
      <c r="I180" s="37" t="s">
        <v>418</v>
      </c>
      <c r="J180" s="37" t="s">
        <v>48</v>
      </c>
      <c r="K180" s="6">
        <f>4635.9+393+33</f>
        <v>5061.8999999999996</v>
      </c>
    </row>
    <row r="181" spans="1:11" s="26" customFormat="1" x14ac:dyDescent="0.25">
      <c r="A181" s="104"/>
      <c r="B181" s="1" t="s">
        <v>12</v>
      </c>
      <c r="C181" s="2">
        <v>902</v>
      </c>
      <c r="D181" s="37" t="s">
        <v>4</v>
      </c>
      <c r="E181" s="37" t="s">
        <v>6</v>
      </c>
      <c r="F181" s="37"/>
      <c r="G181" s="38"/>
      <c r="H181" s="37"/>
      <c r="I181" s="37"/>
      <c r="J181" s="37"/>
      <c r="K181" s="6">
        <f t="shared" ref="K181:K184" si="5">SUM(K182)</f>
        <v>235.4</v>
      </c>
    </row>
    <row r="182" spans="1:11" s="26" customFormat="1" ht="31.2" x14ac:dyDescent="0.25">
      <c r="A182" s="104"/>
      <c r="B182" s="1" t="s">
        <v>351</v>
      </c>
      <c r="C182" s="2">
        <v>902</v>
      </c>
      <c r="D182" s="37" t="s">
        <v>4</v>
      </c>
      <c r="E182" s="37" t="s">
        <v>6</v>
      </c>
      <c r="F182" s="37" t="s">
        <v>86</v>
      </c>
      <c r="G182" s="38"/>
      <c r="H182" s="37"/>
      <c r="I182" s="37"/>
      <c r="J182" s="37"/>
      <c r="K182" s="6">
        <f t="shared" si="5"/>
        <v>235.4</v>
      </c>
    </row>
    <row r="183" spans="1:11" s="26" customFormat="1" x14ac:dyDescent="0.25">
      <c r="A183" s="104"/>
      <c r="B183" s="1" t="s">
        <v>76</v>
      </c>
      <c r="C183" s="2">
        <v>902</v>
      </c>
      <c r="D183" s="37" t="s">
        <v>4</v>
      </c>
      <c r="E183" s="37" t="s">
        <v>6</v>
      </c>
      <c r="F183" s="37" t="s">
        <v>86</v>
      </c>
      <c r="G183" s="38">
        <v>1</v>
      </c>
      <c r="H183" s="37"/>
      <c r="I183" s="37"/>
      <c r="J183" s="37"/>
      <c r="K183" s="6">
        <f t="shared" si="5"/>
        <v>235.4</v>
      </c>
    </row>
    <row r="184" spans="1:11" s="26" customFormat="1" x14ac:dyDescent="0.25">
      <c r="A184" s="104"/>
      <c r="B184" s="1" t="s">
        <v>13</v>
      </c>
      <c r="C184" s="2">
        <v>902</v>
      </c>
      <c r="D184" s="37" t="s">
        <v>4</v>
      </c>
      <c r="E184" s="37" t="s">
        <v>6</v>
      </c>
      <c r="F184" s="37" t="s">
        <v>86</v>
      </c>
      <c r="G184" s="38">
        <v>1</v>
      </c>
      <c r="H184" s="37" t="s">
        <v>77</v>
      </c>
      <c r="I184" s="37" t="s">
        <v>87</v>
      </c>
      <c r="J184" s="37"/>
      <c r="K184" s="6">
        <f t="shared" si="5"/>
        <v>235.4</v>
      </c>
    </row>
    <row r="185" spans="1:11" s="26" customFormat="1" ht="31.2" x14ac:dyDescent="0.25">
      <c r="A185" s="104"/>
      <c r="B185" s="1" t="s">
        <v>123</v>
      </c>
      <c r="C185" s="2">
        <v>902</v>
      </c>
      <c r="D185" s="37" t="s">
        <v>4</v>
      </c>
      <c r="E185" s="37" t="s">
        <v>6</v>
      </c>
      <c r="F185" s="37" t="s">
        <v>86</v>
      </c>
      <c r="G185" s="38">
        <v>1</v>
      </c>
      <c r="H185" s="37" t="s">
        <v>77</v>
      </c>
      <c r="I185" s="37" t="s">
        <v>87</v>
      </c>
      <c r="J185" s="37" t="s">
        <v>49</v>
      </c>
      <c r="K185" s="6">
        <v>235.4</v>
      </c>
    </row>
    <row r="186" spans="1:11" s="26" customFormat="1" x14ac:dyDescent="0.25">
      <c r="A186" s="104"/>
      <c r="B186" s="1" t="s">
        <v>14</v>
      </c>
      <c r="C186" s="2">
        <v>902</v>
      </c>
      <c r="D186" s="37" t="s">
        <v>5</v>
      </c>
      <c r="E186" s="37"/>
      <c r="F186" s="37"/>
      <c r="G186" s="38"/>
      <c r="H186" s="37"/>
      <c r="I186" s="37"/>
      <c r="J186" s="37"/>
      <c r="K186" s="6">
        <f>K187+K191</f>
        <v>1522.2</v>
      </c>
    </row>
    <row r="187" spans="1:11" s="26" customFormat="1" ht="31.2" x14ac:dyDescent="0.25">
      <c r="A187" s="104"/>
      <c r="B187" s="1" t="s">
        <v>224</v>
      </c>
      <c r="C187" s="90">
        <v>902</v>
      </c>
      <c r="D187" s="37" t="s">
        <v>5</v>
      </c>
      <c r="E187" s="37" t="s">
        <v>21</v>
      </c>
      <c r="F187" s="37"/>
      <c r="G187" s="91"/>
      <c r="H187" s="37"/>
      <c r="I187" s="37"/>
      <c r="J187" s="37"/>
      <c r="K187" s="6">
        <f>K188</f>
        <v>152.19999999999999</v>
      </c>
    </row>
    <row r="188" spans="1:11" s="26" customFormat="1" x14ac:dyDescent="0.25">
      <c r="A188" s="104"/>
      <c r="B188" s="1" t="s">
        <v>53</v>
      </c>
      <c r="C188" s="90">
        <v>902</v>
      </c>
      <c r="D188" s="37" t="s">
        <v>5</v>
      </c>
      <c r="E188" s="37" t="s">
        <v>21</v>
      </c>
      <c r="F188" s="37" t="s">
        <v>456</v>
      </c>
      <c r="G188" s="91"/>
      <c r="H188" s="37"/>
      <c r="I188" s="37"/>
      <c r="J188" s="37"/>
      <c r="K188" s="6">
        <f>K189</f>
        <v>152.19999999999999</v>
      </c>
    </row>
    <row r="189" spans="1:11" s="26" customFormat="1" ht="31.2" x14ac:dyDescent="0.25">
      <c r="A189" s="104"/>
      <c r="B189" s="1" t="s">
        <v>370</v>
      </c>
      <c r="C189" s="90">
        <v>902</v>
      </c>
      <c r="D189" s="37" t="s">
        <v>5</v>
      </c>
      <c r="E189" s="37" t="s">
        <v>21</v>
      </c>
      <c r="F189" s="37" t="s">
        <v>456</v>
      </c>
      <c r="G189" s="91">
        <v>0</v>
      </c>
      <c r="H189" s="37" t="s">
        <v>77</v>
      </c>
      <c r="I189" s="37" t="s">
        <v>103</v>
      </c>
      <c r="J189" s="37"/>
      <c r="K189" s="6">
        <f>K190</f>
        <v>152.19999999999999</v>
      </c>
    </row>
    <row r="190" spans="1:11" s="26" customFormat="1" ht="31.2" x14ac:dyDescent="0.25">
      <c r="A190" s="104"/>
      <c r="B190" s="1" t="s">
        <v>123</v>
      </c>
      <c r="C190" s="90">
        <v>902</v>
      </c>
      <c r="D190" s="37" t="s">
        <v>5</v>
      </c>
      <c r="E190" s="37" t="s">
        <v>21</v>
      </c>
      <c r="F190" s="37" t="s">
        <v>456</v>
      </c>
      <c r="G190" s="91">
        <v>0</v>
      </c>
      <c r="H190" s="37" t="s">
        <v>77</v>
      </c>
      <c r="I190" s="37" t="s">
        <v>103</v>
      </c>
      <c r="J190" s="37" t="s">
        <v>49</v>
      </c>
      <c r="K190" s="6">
        <v>152.19999999999999</v>
      </c>
    </row>
    <row r="191" spans="1:11" s="26" customFormat="1" ht="31.2" x14ac:dyDescent="0.25">
      <c r="A191" s="104"/>
      <c r="B191" s="1" t="s">
        <v>130</v>
      </c>
      <c r="C191" s="2">
        <v>902</v>
      </c>
      <c r="D191" s="37" t="s">
        <v>5</v>
      </c>
      <c r="E191" s="37" t="s">
        <v>10</v>
      </c>
      <c r="F191" s="37"/>
      <c r="G191" s="38"/>
      <c r="H191" s="37"/>
      <c r="I191" s="37"/>
      <c r="J191" s="37"/>
      <c r="K191" s="6">
        <f>K192</f>
        <v>1370</v>
      </c>
    </row>
    <row r="192" spans="1:11" s="26" customFormat="1" x14ac:dyDescent="0.25">
      <c r="A192" s="104"/>
      <c r="B192" s="40" t="s">
        <v>352</v>
      </c>
      <c r="C192" s="2">
        <v>902</v>
      </c>
      <c r="D192" s="37" t="s">
        <v>5</v>
      </c>
      <c r="E192" s="37" t="s">
        <v>10</v>
      </c>
      <c r="F192" s="37" t="s">
        <v>83</v>
      </c>
      <c r="G192" s="37"/>
      <c r="H192" s="37"/>
      <c r="I192" s="37"/>
      <c r="J192" s="37"/>
      <c r="K192" s="6">
        <f t="shared" ref="K192:K194" si="6">K193</f>
        <v>1370</v>
      </c>
    </row>
    <row r="193" spans="1:11" s="26" customFormat="1" ht="46.8" x14ac:dyDescent="0.25">
      <c r="A193" s="104"/>
      <c r="B193" s="40" t="s">
        <v>353</v>
      </c>
      <c r="C193" s="2">
        <v>902</v>
      </c>
      <c r="D193" s="37" t="s">
        <v>5</v>
      </c>
      <c r="E193" s="37" t="s">
        <v>10</v>
      </c>
      <c r="F193" s="37" t="s">
        <v>134</v>
      </c>
      <c r="G193" s="37" t="s">
        <v>117</v>
      </c>
      <c r="H193" s="37"/>
      <c r="I193" s="37"/>
      <c r="J193" s="39"/>
      <c r="K193" s="6">
        <f t="shared" si="6"/>
        <v>1370</v>
      </c>
    </row>
    <row r="194" spans="1:11" s="26" customFormat="1" ht="35.4" customHeight="1" x14ac:dyDescent="0.25">
      <c r="A194" s="104"/>
      <c r="B194" s="40" t="s">
        <v>131</v>
      </c>
      <c r="C194" s="2">
        <v>902</v>
      </c>
      <c r="D194" s="37" t="s">
        <v>5</v>
      </c>
      <c r="E194" s="37" t="s">
        <v>10</v>
      </c>
      <c r="F194" s="37" t="s">
        <v>83</v>
      </c>
      <c r="G194" s="37" t="s">
        <v>117</v>
      </c>
      <c r="H194" s="37" t="s">
        <v>2</v>
      </c>
      <c r="I194" s="37"/>
      <c r="J194" s="39"/>
      <c r="K194" s="6">
        <f t="shared" si="6"/>
        <v>1370</v>
      </c>
    </row>
    <row r="195" spans="1:11" s="26" customFormat="1" ht="31.2" x14ac:dyDescent="0.25">
      <c r="A195" s="104"/>
      <c r="B195" s="40" t="s">
        <v>132</v>
      </c>
      <c r="C195" s="2">
        <v>902</v>
      </c>
      <c r="D195" s="37" t="s">
        <v>5</v>
      </c>
      <c r="E195" s="37" t="s">
        <v>10</v>
      </c>
      <c r="F195" s="37" t="s">
        <v>83</v>
      </c>
      <c r="G195" s="37" t="s">
        <v>117</v>
      </c>
      <c r="H195" s="37" t="s">
        <v>2</v>
      </c>
      <c r="I195" s="37" t="s">
        <v>135</v>
      </c>
      <c r="J195" s="39"/>
      <c r="K195" s="6">
        <f>K198+K197+K196</f>
        <v>1370</v>
      </c>
    </row>
    <row r="196" spans="1:11" s="26" customFormat="1" ht="46.8" x14ac:dyDescent="0.25">
      <c r="A196" s="104"/>
      <c r="B196" s="40" t="s">
        <v>122</v>
      </c>
      <c r="C196" s="2">
        <v>902</v>
      </c>
      <c r="D196" s="37" t="s">
        <v>5</v>
      </c>
      <c r="E196" s="37" t="s">
        <v>10</v>
      </c>
      <c r="F196" s="37" t="s">
        <v>83</v>
      </c>
      <c r="G196" s="37" t="s">
        <v>117</v>
      </c>
      <c r="H196" s="37" t="s">
        <v>2</v>
      </c>
      <c r="I196" s="37" t="s">
        <v>135</v>
      </c>
      <c r="J196" s="39" t="s">
        <v>48</v>
      </c>
      <c r="K196" s="6">
        <v>750</v>
      </c>
    </row>
    <row r="197" spans="1:11" s="26" customFormat="1" ht="31.2" x14ac:dyDescent="0.25">
      <c r="A197" s="104"/>
      <c r="B197" s="1" t="s">
        <v>123</v>
      </c>
      <c r="C197" s="2">
        <v>902</v>
      </c>
      <c r="D197" s="37" t="s">
        <v>5</v>
      </c>
      <c r="E197" s="37" t="s">
        <v>10</v>
      </c>
      <c r="F197" s="37" t="s">
        <v>83</v>
      </c>
      <c r="G197" s="37" t="s">
        <v>117</v>
      </c>
      <c r="H197" s="37" t="s">
        <v>2</v>
      </c>
      <c r="I197" s="37" t="s">
        <v>135</v>
      </c>
      <c r="J197" s="39" t="s">
        <v>49</v>
      </c>
      <c r="K197" s="6">
        <f>60+750+50+300+60-750+150</f>
        <v>620</v>
      </c>
    </row>
    <row r="198" spans="1:11" s="26" customFormat="1" x14ac:dyDescent="0.25">
      <c r="A198" s="104"/>
      <c r="B198" s="1" t="s">
        <v>55</v>
      </c>
      <c r="C198" s="2">
        <v>902</v>
      </c>
      <c r="D198" s="37" t="s">
        <v>5</v>
      </c>
      <c r="E198" s="37" t="s">
        <v>10</v>
      </c>
      <c r="F198" s="37" t="s">
        <v>83</v>
      </c>
      <c r="G198" s="37" t="s">
        <v>117</v>
      </c>
      <c r="H198" s="37" t="s">
        <v>2</v>
      </c>
      <c r="I198" s="37" t="s">
        <v>135</v>
      </c>
      <c r="J198" s="39" t="s">
        <v>56</v>
      </c>
      <c r="K198" s="6">
        <f>750-750</f>
        <v>0</v>
      </c>
    </row>
    <row r="199" spans="1:11" s="26" customFormat="1" x14ac:dyDescent="0.25">
      <c r="A199" s="104"/>
      <c r="B199" s="1" t="s">
        <v>15</v>
      </c>
      <c r="C199" s="2">
        <v>902</v>
      </c>
      <c r="D199" s="37" t="s">
        <v>6</v>
      </c>
      <c r="E199" s="37"/>
      <c r="F199" s="37"/>
      <c r="G199" s="38"/>
      <c r="H199" s="37"/>
      <c r="I199" s="37"/>
      <c r="J199" s="37"/>
      <c r="K199" s="6">
        <f>SUM(K200+K210+K240+K222+K233+K228)</f>
        <v>419550.5</v>
      </c>
    </row>
    <row r="200" spans="1:11" s="26" customFormat="1" x14ac:dyDescent="0.25">
      <c r="A200" s="104"/>
      <c r="B200" s="1" t="s">
        <v>16</v>
      </c>
      <c r="C200" s="2">
        <v>902</v>
      </c>
      <c r="D200" s="37" t="s">
        <v>6</v>
      </c>
      <c r="E200" s="37" t="s">
        <v>7</v>
      </c>
      <c r="F200" s="37"/>
      <c r="G200" s="38"/>
      <c r="H200" s="37"/>
      <c r="I200" s="37"/>
      <c r="J200" s="37"/>
      <c r="K200" s="6">
        <f t="shared" ref="K200" si="7">SUM(K201)</f>
        <v>9635</v>
      </c>
    </row>
    <row r="201" spans="1:11" s="26" customFormat="1" x14ac:dyDescent="0.25">
      <c r="A201" s="104"/>
      <c r="B201" s="40" t="s">
        <v>327</v>
      </c>
      <c r="C201" s="2">
        <v>902</v>
      </c>
      <c r="D201" s="37" t="s">
        <v>6</v>
      </c>
      <c r="E201" s="37" t="s">
        <v>7</v>
      </c>
      <c r="F201" s="37" t="s">
        <v>89</v>
      </c>
      <c r="G201" s="38"/>
      <c r="H201" s="37"/>
      <c r="I201" s="37"/>
      <c r="J201" s="37"/>
      <c r="K201" s="6">
        <f>SUM(K202)</f>
        <v>9635</v>
      </c>
    </row>
    <row r="202" spans="1:11" s="26" customFormat="1" x14ac:dyDescent="0.25">
      <c r="A202" s="104"/>
      <c r="B202" s="40" t="s">
        <v>328</v>
      </c>
      <c r="C202" s="2">
        <v>902</v>
      </c>
      <c r="D202" s="37" t="s">
        <v>6</v>
      </c>
      <c r="E202" s="37" t="s">
        <v>7</v>
      </c>
      <c r="F202" s="37" t="s">
        <v>89</v>
      </c>
      <c r="G202" s="38">
        <v>6</v>
      </c>
      <c r="H202" s="37"/>
      <c r="I202" s="37"/>
      <c r="J202" s="37"/>
      <c r="K202" s="6">
        <f>SUM(K203+K206+K208)</f>
        <v>9635</v>
      </c>
    </row>
    <row r="203" spans="1:11" s="26" customFormat="1" ht="31.2" x14ac:dyDescent="0.25">
      <c r="A203" s="104"/>
      <c r="B203" s="40" t="s">
        <v>329</v>
      </c>
      <c r="C203" s="2">
        <v>902</v>
      </c>
      <c r="D203" s="37" t="s">
        <v>6</v>
      </c>
      <c r="E203" s="37" t="s">
        <v>7</v>
      </c>
      <c r="F203" s="37" t="s">
        <v>89</v>
      </c>
      <c r="G203" s="37" t="s">
        <v>274</v>
      </c>
      <c r="H203" s="37" t="s">
        <v>2</v>
      </c>
      <c r="I203" s="37"/>
      <c r="J203" s="39"/>
      <c r="K203" s="6">
        <f>K204</f>
        <v>669.1</v>
      </c>
    </row>
    <row r="204" spans="1:11" s="26" customFormat="1" ht="31.2" x14ac:dyDescent="0.25">
      <c r="A204" s="104"/>
      <c r="B204" s="40" t="s">
        <v>354</v>
      </c>
      <c r="C204" s="2">
        <v>902</v>
      </c>
      <c r="D204" s="37" t="s">
        <v>6</v>
      </c>
      <c r="E204" s="37" t="s">
        <v>7</v>
      </c>
      <c r="F204" s="37" t="s">
        <v>89</v>
      </c>
      <c r="G204" s="37" t="s">
        <v>274</v>
      </c>
      <c r="H204" s="37" t="s">
        <v>2</v>
      </c>
      <c r="I204" s="37" t="s">
        <v>211</v>
      </c>
      <c r="J204" s="39"/>
      <c r="K204" s="6">
        <f>K205</f>
        <v>669.1</v>
      </c>
    </row>
    <row r="205" spans="1:11" s="26" customFormat="1" x14ac:dyDescent="0.25">
      <c r="A205" s="104"/>
      <c r="B205" s="1" t="s">
        <v>50</v>
      </c>
      <c r="C205" s="2">
        <v>902</v>
      </c>
      <c r="D205" s="37" t="s">
        <v>6</v>
      </c>
      <c r="E205" s="37" t="s">
        <v>7</v>
      </c>
      <c r="F205" s="37" t="s">
        <v>89</v>
      </c>
      <c r="G205" s="37" t="s">
        <v>274</v>
      </c>
      <c r="H205" s="37" t="s">
        <v>2</v>
      </c>
      <c r="I205" s="37" t="s">
        <v>211</v>
      </c>
      <c r="J205" s="39" t="s">
        <v>51</v>
      </c>
      <c r="K205" s="6">
        <v>669.1</v>
      </c>
    </row>
    <row r="206" spans="1:11" s="26" customFormat="1" ht="31.2" x14ac:dyDescent="0.25">
      <c r="A206" s="104"/>
      <c r="B206" s="42" t="s">
        <v>214</v>
      </c>
      <c r="C206" s="2">
        <v>902</v>
      </c>
      <c r="D206" s="37" t="s">
        <v>6</v>
      </c>
      <c r="E206" s="37" t="s">
        <v>7</v>
      </c>
      <c r="F206" s="37" t="s">
        <v>89</v>
      </c>
      <c r="G206" s="37" t="s">
        <v>274</v>
      </c>
      <c r="H206" s="37" t="s">
        <v>2</v>
      </c>
      <c r="I206" s="37" t="s">
        <v>82</v>
      </c>
      <c r="J206" s="37"/>
      <c r="K206" s="6">
        <f t="shared" ref="K206" si="8">SUM(K207)</f>
        <v>2205.9</v>
      </c>
    </row>
    <row r="207" spans="1:11" s="26" customFormat="1" x14ac:dyDescent="0.25">
      <c r="A207" s="104"/>
      <c r="B207" s="1" t="s">
        <v>50</v>
      </c>
      <c r="C207" s="2">
        <v>902</v>
      </c>
      <c r="D207" s="37" t="s">
        <v>6</v>
      </c>
      <c r="E207" s="37" t="s">
        <v>7</v>
      </c>
      <c r="F207" s="37" t="s">
        <v>89</v>
      </c>
      <c r="G207" s="37" t="s">
        <v>274</v>
      </c>
      <c r="H207" s="37" t="s">
        <v>2</v>
      </c>
      <c r="I207" s="37" t="s">
        <v>82</v>
      </c>
      <c r="J207" s="37" t="s">
        <v>51</v>
      </c>
      <c r="K207" s="6">
        <v>2205.9</v>
      </c>
    </row>
    <row r="208" spans="1:11" s="26" customFormat="1" ht="93.6" x14ac:dyDescent="0.25">
      <c r="A208" s="104"/>
      <c r="B208" s="41" t="s">
        <v>272</v>
      </c>
      <c r="C208" s="2">
        <v>902</v>
      </c>
      <c r="D208" s="37" t="s">
        <v>6</v>
      </c>
      <c r="E208" s="37" t="s">
        <v>7</v>
      </c>
      <c r="F208" s="37" t="s">
        <v>89</v>
      </c>
      <c r="G208" s="37" t="s">
        <v>274</v>
      </c>
      <c r="H208" s="37" t="s">
        <v>2</v>
      </c>
      <c r="I208" s="37" t="s">
        <v>88</v>
      </c>
      <c r="J208" s="37"/>
      <c r="K208" s="6">
        <f t="shared" ref="K208" si="9">SUM(K209)</f>
        <v>6760</v>
      </c>
    </row>
    <row r="209" spans="1:11" s="26" customFormat="1" ht="31.2" x14ac:dyDescent="0.25">
      <c r="A209" s="104"/>
      <c r="B209" s="1" t="s">
        <v>123</v>
      </c>
      <c r="C209" s="2">
        <v>902</v>
      </c>
      <c r="D209" s="37" t="s">
        <v>6</v>
      </c>
      <c r="E209" s="37" t="s">
        <v>7</v>
      </c>
      <c r="F209" s="37" t="s">
        <v>89</v>
      </c>
      <c r="G209" s="37" t="s">
        <v>274</v>
      </c>
      <c r="H209" s="37" t="s">
        <v>2</v>
      </c>
      <c r="I209" s="37" t="s">
        <v>88</v>
      </c>
      <c r="J209" s="37" t="s">
        <v>49</v>
      </c>
      <c r="K209" s="6">
        <f>5408+1352</f>
        <v>6760</v>
      </c>
    </row>
    <row r="210" spans="1:11" s="26" customFormat="1" x14ac:dyDescent="0.25">
      <c r="A210" s="104"/>
      <c r="B210" s="1" t="s">
        <v>69</v>
      </c>
      <c r="C210" s="2">
        <v>902</v>
      </c>
      <c r="D210" s="37" t="s">
        <v>6</v>
      </c>
      <c r="E210" s="37" t="s">
        <v>30</v>
      </c>
      <c r="F210" s="37"/>
      <c r="G210" s="38"/>
      <c r="H210" s="37"/>
      <c r="I210" s="37"/>
      <c r="J210" s="37"/>
      <c r="K210" s="6">
        <f>SUM(K211)</f>
        <v>330906.10000000003</v>
      </c>
    </row>
    <row r="211" spans="1:11" s="26" customFormat="1" x14ac:dyDescent="0.25">
      <c r="A211" s="104"/>
      <c r="B211" s="1" t="s">
        <v>360</v>
      </c>
      <c r="C211" s="2">
        <v>902</v>
      </c>
      <c r="D211" s="37" t="s">
        <v>6</v>
      </c>
      <c r="E211" s="37" t="s">
        <v>30</v>
      </c>
      <c r="F211" s="37" t="s">
        <v>4</v>
      </c>
      <c r="G211" s="38"/>
      <c r="H211" s="37"/>
      <c r="I211" s="37"/>
      <c r="J211" s="37"/>
      <c r="K211" s="6">
        <f>SUM(K212)</f>
        <v>330906.10000000003</v>
      </c>
    </row>
    <row r="212" spans="1:11" s="26" customFormat="1" ht="62.4" x14ac:dyDescent="0.25">
      <c r="A212" s="104"/>
      <c r="B212" s="1" t="s">
        <v>500</v>
      </c>
      <c r="C212" s="2">
        <v>902</v>
      </c>
      <c r="D212" s="37" t="s">
        <v>6</v>
      </c>
      <c r="E212" s="37" t="s">
        <v>30</v>
      </c>
      <c r="F212" s="37" t="s">
        <v>4</v>
      </c>
      <c r="G212" s="38">
        <v>1</v>
      </c>
      <c r="H212" s="37"/>
      <c r="I212" s="37"/>
      <c r="J212" s="37"/>
      <c r="K212" s="6">
        <f>SUM(K213)</f>
        <v>330906.10000000003</v>
      </c>
    </row>
    <row r="213" spans="1:11" s="26" customFormat="1" ht="31.2" x14ac:dyDescent="0.25">
      <c r="A213" s="104"/>
      <c r="B213" s="40" t="s">
        <v>501</v>
      </c>
      <c r="C213" s="2">
        <v>902</v>
      </c>
      <c r="D213" s="37" t="s">
        <v>6</v>
      </c>
      <c r="E213" s="37" t="s">
        <v>30</v>
      </c>
      <c r="F213" s="37" t="s">
        <v>4</v>
      </c>
      <c r="G213" s="38">
        <v>1</v>
      </c>
      <c r="H213" s="37" t="s">
        <v>2</v>
      </c>
      <c r="I213" s="37"/>
      <c r="J213" s="37"/>
      <c r="K213" s="6">
        <f>SUM(K214+K216+K218+K220)</f>
        <v>330906.10000000003</v>
      </c>
    </row>
    <row r="214" spans="1:11" s="26" customFormat="1" ht="82.5" customHeight="1" x14ac:dyDescent="0.25">
      <c r="A214" s="104"/>
      <c r="B214" s="40" t="s">
        <v>421</v>
      </c>
      <c r="C214" s="2">
        <v>902</v>
      </c>
      <c r="D214" s="37" t="s">
        <v>6</v>
      </c>
      <c r="E214" s="37" t="s">
        <v>30</v>
      </c>
      <c r="F214" s="37" t="s">
        <v>4</v>
      </c>
      <c r="G214" s="38">
        <v>1</v>
      </c>
      <c r="H214" s="37" t="s">
        <v>2</v>
      </c>
      <c r="I214" s="37" t="s">
        <v>223</v>
      </c>
      <c r="J214" s="37"/>
      <c r="K214" s="6">
        <f>SUM(K215)</f>
        <v>0</v>
      </c>
    </row>
    <row r="215" spans="1:11" s="26" customFormat="1" ht="31.2" x14ac:dyDescent="0.25">
      <c r="A215" s="104"/>
      <c r="B215" s="40" t="s">
        <v>75</v>
      </c>
      <c r="C215" s="2">
        <v>902</v>
      </c>
      <c r="D215" s="37" t="s">
        <v>6</v>
      </c>
      <c r="E215" s="37" t="s">
        <v>30</v>
      </c>
      <c r="F215" s="37" t="s">
        <v>4</v>
      </c>
      <c r="G215" s="38">
        <v>1</v>
      </c>
      <c r="H215" s="37" t="s">
        <v>2</v>
      </c>
      <c r="I215" s="37" t="s">
        <v>223</v>
      </c>
      <c r="J215" s="37" t="s">
        <v>54</v>
      </c>
      <c r="K215" s="6">
        <f>309234.8+19910.1-3634.5-325510.4</f>
        <v>0</v>
      </c>
    </row>
    <row r="216" spans="1:11" s="26" customFormat="1" ht="93.6" x14ac:dyDescent="0.25">
      <c r="A216" s="104"/>
      <c r="B216" s="40" t="s">
        <v>484</v>
      </c>
      <c r="C216" s="2">
        <v>902</v>
      </c>
      <c r="D216" s="37" t="s">
        <v>6</v>
      </c>
      <c r="E216" s="37" t="s">
        <v>30</v>
      </c>
      <c r="F216" s="37" t="s">
        <v>4</v>
      </c>
      <c r="G216" s="38">
        <v>1</v>
      </c>
      <c r="H216" s="37" t="s">
        <v>2</v>
      </c>
      <c r="I216" s="37" t="s">
        <v>294</v>
      </c>
      <c r="J216" s="37"/>
      <c r="K216" s="6">
        <f>K217</f>
        <v>0</v>
      </c>
    </row>
    <row r="217" spans="1:11" s="26" customFormat="1" ht="31.2" x14ac:dyDescent="0.25">
      <c r="A217" s="104"/>
      <c r="B217" s="40" t="s">
        <v>75</v>
      </c>
      <c r="C217" s="2">
        <v>902</v>
      </c>
      <c r="D217" s="37" t="s">
        <v>6</v>
      </c>
      <c r="E217" s="37" t="s">
        <v>30</v>
      </c>
      <c r="F217" s="37" t="s">
        <v>4</v>
      </c>
      <c r="G217" s="38">
        <v>1</v>
      </c>
      <c r="H217" s="37" t="s">
        <v>2</v>
      </c>
      <c r="I217" s="37" t="s">
        <v>294</v>
      </c>
      <c r="J217" s="37" t="s">
        <v>54</v>
      </c>
      <c r="K217" s="6">
        <f>3634.5+1209-3634.5-1209</f>
        <v>0</v>
      </c>
    </row>
    <row r="218" spans="1:11" s="26" customFormat="1" ht="62.4" x14ac:dyDescent="0.25">
      <c r="A218" s="104"/>
      <c r="B218" s="1" t="s">
        <v>586</v>
      </c>
      <c r="C218" s="2">
        <v>902</v>
      </c>
      <c r="D218" s="37" t="s">
        <v>6</v>
      </c>
      <c r="E218" s="37" t="s">
        <v>30</v>
      </c>
      <c r="F218" s="37" t="s">
        <v>4</v>
      </c>
      <c r="G218" s="38">
        <v>1</v>
      </c>
      <c r="H218" s="37" t="s">
        <v>2</v>
      </c>
      <c r="I218" s="37" t="s">
        <v>584</v>
      </c>
      <c r="J218" s="39"/>
      <c r="K218" s="6">
        <f>K219</f>
        <v>325510.40000000002</v>
      </c>
    </row>
    <row r="219" spans="1:11" s="26" customFormat="1" ht="31.2" x14ac:dyDescent="0.25">
      <c r="A219" s="104"/>
      <c r="B219" s="1" t="s">
        <v>75</v>
      </c>
      <c r="C219" s="2">
        <v>902</v>
      </c>
      <c r="D219" s="37" t="s">
        <v>6</v>
      </c>
      <c r="E219" s="37" t="s">
        <v>30</v>
      </c>
      <c r="F219" s="37" t="s">
        <v>4</v>
      </c>
      <c r="G219" s="38">
        <v>1</v>
      </c>
      <c r="H219" s="37" t="s">
        <v>2</v>
      </c>
      <c r="I219" s="37" t="s">
        <v>584</v>
      </c>
      <c r="J219" s="39" t="s">
        <v>54</v>
      </c>
      <c r="K219" s="6">
        <v>325510.40000000002</v>
      </c>
    </row>
    <row r="220" spans="1:11" s="26" customFormat="1" ht="62.4" x14ac:dyDescent="0.25">
      <c r="A220" s="104"/>
      <c r="B220" s="1" t="s">
        <v>587</v>
      </c>
      <c r="C220" s="2">
        <v>902</v>
      </c>
      <c r="D220" s="37" t="s">
        <v>6</v>
      </c>
      <c r="E220" s="37" t="s">
        <v>30</v>
      </c>
      <c r="F220" s="37" t="s">
        <v>4</v>
      </c>
      <c r="G220" s="38">
        <v>1</v>
      </c>
      <c r="H220" s="37" t="s">
        <v>2</v>
      </c>
      <c r="I220" s="37" t="s">
        <v>585</v>
      </c>
      <c r="J220" s="39"/>
      <c r="K220" s="6">
        <f>K221</f>
        <v>5395.7</v>
      </c>
    </row>
    <row r="221" spans="1:11" s="26" customFormat="1" ht="31.2" x14ac:dyDescent="0.25">
      <c r="A221" s="104"/>
      <c r="B221" s="1" t="s">
        <v>75</v>
      </c>
      <c r="C221" s="2">
        <v>902</v>
      </c>
      <c r="D221" s="37" t="s">
        <v>6</v>
      </c>
      <c r="E221" s="37" t="s">
        <v>30</v>
      </c>
      <c r="F221" s="37" t="s">
        <v>4</v>
      </c>
      <c r="G221" s="38">
        <v>1</v>
      </c>
      <c r="H221" s="37" t="s">
        <v>2</v>
      </c>
      <c r="I221" s="37" t="s">
        <v>585</v>
      </c>
      <c r="J221" s="39" t="s">
        <v>54</v>
      </c>
      <c r="K221" s="6">
        <f>3634.5+1209+552.2</f>
        <v>5395.7</v>
      </c>
    </row>
    <row r="222" spans="1:11" s="26" customFormat="1" x14ac:dyDescent="0.25">
      <c r="A222" s="104"/>
      <c r="B222" s="1" t="s">
        <v>449</v>
      </c>
      <c r="C222" s="2">
        <v>902</v>
      </c>
      <c r="D222" s="37" t="s">
        <v>6</v>
      </c>
      <c r="E222" s="37" t="s">
        <v>8</v>
      </c>
      <c r="F222" s="37"/>
      <c r="G222" s="37"/>
      <c r="H222" s="37"/>
      <c r="I222" s="37"/>
      <c r="J222" s="37"/>
      <c r="K222" s="6">
        <f>SUM(K223)</f>
        <v>798.79999999999973</v>
      </c>
    </row>
    <row r="223" spans="1:11" s="26" customFormat="1" ht="31.2" x14ac:dyDescent="0.25">
      <c r="A223" s="104"/>
      <c r="B223" s="1" t="s">
        <v>334</v>
      </c>
      <c r="C223" s="2">
        <v>902</v>
      </c>
      <c r="D223" s="37" t="s">
        <v>6</v>
      </c>
      <c r="E223" s="37" t="s">
        <v>8</v>
      </c>
      <c r="F223" s="37" t="s">
        <v>8</v>
      </c>
      <c r="G223" s="38"/>
      <c r="H223" s="37"/>
      <c r="I223" s="37"/>
      <c r="J223" s="37"/>
      <c r="K223" s="6">
        <f>SUM(K224)</f>
        <v>798.79999999999973</v>
      </c>
    </row>
    <row r="224" spans="1:11" s="26" customFormat="1" ht="31.2" x14ac:dyDescent="0.25">
      <c r="A224" s="104"/>
      <c r="B224" s="1" t="s">
        <v>335</v>
      </c>
      <c r="C224" s="2">
        <v>902</v>
      </c>
      <c r="D224" s="37" t="s">
        <v>6</v>
      </c>
      <c r="E224" s="37" t="s">
        <v>8</v>
      </c>
      <c r="F224" s="37" t="s">
        <v>8</v>
      </c>
      <c r="G224" s="38">
        <v>1</v>
      </c>
      <c r="H224" s="37"/>
      <c r="I224" s="37"/>
      <c r="J224" s="37"/>
      <c r="K224" s="6">
        <f>SUM(K225)</f>
        <v>798.79999999999973</v>
      </c>
    </row>
    <row r="225" spans="1:11" s="26" customFormat="1" x14ac:dyDescent="0.25">
      <c r="A225" s="104"/>
      <c r="B225" s="1" t="s">
        <v>475</v>
      </c>
      <c r="C225" s="2">
        <v>902</v>
      </c>
      <c r="D225" s="37" t="s">
        <v>6</v>
      </c>
      <c r="E225" s="37" t="s">
        <v>8</v>
      </c>
      <c r="F225" s="37" t="s">
        <v>8</v>
      </c>
      <c r="G225" s="38">
        <v>1</v>
      </c>
      <c r="H225" s="37" t="s">
        <v>2</v>
      </c>
      <c r="I225" s="37"/>
      <c r="J225" s="37"/>
      <c r="K225" s="6">
        <f>SUM(K226)</f>
        <v>798.79999999999973</v>
      </c>
    </row>
    <row r="226" spans="1:11" s="26" customFormat="1" ht="46.8" x14ac:dyDescent="0.25">
      <c r="A226" s="104"/>
      <c r="B226" s="1" t="s">
        <v>66</v>
      </c>
      <c r="C226" s="2">
        <v>902</v>
      </c>
      <c r="D226" s="37" t="s">
        <v>6</v>
      </c>
      <c r="E226" s="37" t="s">
        <v>8</v>
      </c>
      <c r="F226" s="37" t="s">
        <v>8</v>
      </c>
      <c r="G226" s="38">
        <v>1</v>
      </c>
      <c r="H226" s="37" t="s">
        <v>2</v>
      </c>
      <c r="I226" s="37" t="s">
        <v>85</v>
      </c>
      <c r="J226" s="37"/>
      <c r="K226" s="6">
        <f>SUM(K227)</f>
        <v>798.79999999999973</v>
      </c>
    </row>
    <row r="227" spans="1:11" s="26" customFormat="1" ht="50.25" customHeight="1" x14ac:dyDescent="0.25">
      <c r="A227" s="104"/>
      <c r="B227" s="1" t="s">
        <v>122</v>
      </c>
      <c r="C227" s="2">
        <v>902</v>
      </c>
      <c r="D227" s="37" t="s">
        <v>6</v>
      </c>
      <c r="E227" s="37" t="s">
        <v>8</v>
      </c>
      <c r="F227" s="37" t="s">
        <v>8</v>
      </c>
      <c r="G227" s="38">
        <v>1</v>
      </c>
      <c r="H227" s="37" t="s">
        <v>2</v>
      </c>
      <c r="I227" s="37" t="s">
        <v>85</v>
      </c>
      <c r="J227" s="37" t="s">
        <v>48</v>
      </c>
      <c r="K227" s="6">
        <f>4647.4-2627.5-1074.1+0.1-30-6-1-1-3-1-1-1-1-3-1-1-1-1-10-61.1-4-2-1-1-1-1-6-2-2-4</f>
        <v>798.79999999999973</v>
      </c>
    </row>
    <row r="228" spans="1:11" s="26" customFormat="1" ht="18.600000000000001" customHeight="1" x14ac:dyDescent="0.25">
      <c r="A228" s="104"/>
      <c r="B228" s="1" t="s">
        <v>68</v>
      </c>
      <c r="C228" s="2">
        <v>902</v>
      </c>
      <c r="D228" s="37" t="s">
        <v>6</v>
      </c>
      <c r="E228" s="37" t="s">
        <v>17</v>
      </c>
      <c r="F228" s="37"/>
      <c r="G228" s="38"/>
      <c r="H228" s="37"/>
      <c r="I228" s="37"/>
      <c r="J228" s="37"/>
      <c r="K228" s="6">
        <f>K229</f>
        <v>600</v>
      </c>
    </row>
    <row r="229" spans="1:11" s="26" customFormat="1" ht="16.95" customHeight="1" x14ac:dyDescent="0.25">
      <c r="A229" s="104"/>
      <c r="B229" s="1" t="s">
        <v>407</v>
      </c>
      <c r="C229" s="2">
        <v>902</v>
      </c>
      <c r="D229" s="37" t="s">
        <v>6</v>
      </c>
      <c r="E229" s="37" t="s">
        <v>17</v>
      </c>
      <c r="F229" s="37" t="s">
        <v>23</v>
      </c>
      <c r="G229" s="38"/>
      <c r="H229" s="37"/>
      <c r="I229" s="37"/>
      <c r="J229" s="37"/>
      <c r="K229" s="6">
        <f>K230</f>
        <v>600</v>
      </c>
    </row>
    <row r="230" spans="1:11" s="26" customFormat="1" ht="33.6" customHeight="1" x14ac:dyDescent="0.25">
      <c r="A230" s="104"/>
      <c r="B230" s="1" t="s">
        <v>581</v>
      </c>
      <c r="C230" s="2">
        <v>902</v>
      </c>
      <c r="D230" s="37" t="s">
        <v>6</v>
      </c>
      <c r="E230" s="37" t="s">
        <v>17</v>
      </c>
      <c r="F230" s="37" t="s">
        <v>23</v>
      </c>
      <c r="G230" s="38">
        <v>3</v>
      </c>
      <c r="H230" s="37"/>
      <c r="I230" s="37"/>
      <c r="J230" s="37"/>
      <c r="K230" s="6">
        <f>K231</f>
        <v>600</v>
      </c>
    </row>
    <row r="231" spans="1:11" s="26" customFormat="1" ht="33.6" customHeight="1" x14ac:dyDescent="0.25">
      <c r="A231" s="104"/>
      <c r="B231" s="1" t="s">
        <v>583</v>
      </c>
      <c r="C231" s="2">
        <v>902</v>
      </c>
      <c r="D231" s="37" t="s">
        <v>6</v>
      </c>
      <c r="E231" s="37" t="s">
        <v>17</v>
      </c>
      <c r="F231" s="37" t="s">
        <v>23</v>
      </c>
      <c r="G231" s="38">
        <v>3</v>
      </c>
      <c r="H231" s="37" t="s">
        <v>2</v>
      </c>
      <c r="I231" s="37" t="s">
        <v>580</v>
      </c>
      <c r="J231" s="37"/>
      <c r="K231" s="6">
        <f>K232</f>
        <v>600</v>
      </c>
    </row>
    <row r="232" spans="1:11" s="26" customFormat="1" ht="31.95" customHeight="1" x14ac:dyDescent="0.25">
      <c r="A232" s="104"/>
      <c r="B232" s="1" t="s">
        <v>123</v>
      </c>
      <c r="C232" s="2">
        <v>902</v>
      </c>
      <c r="D232" s="37" t="s">
        <v>6</v>
      </c>
      <c r="E232" s="37" t="s">
        <v>17</v>
      </c>
      <c r="F232" s="37" t="s">
        <v>23</v>
      </c>
      <c r="G232" s="38">
        <v>3</v>
      </c>
      <c r="H232" s="37" t="s">
        <v>2</v>
      </c>
      <c r="I232" s="37" t="s">
        <v>580</v>
      </c>
      <c r="J232" s="37" t="s">
        <v>49</v>
      </c>
      <c r="K232" s="6">
        <v>600</v>
      </c>
    </row>
    <row r="233" spans="1:11" s="26" customFormat="1" ht="18.600000000000001" customHeight="1" x14ac:dyDescent="0.25">
      <c r="A233" s="104"/>
      <c r="B233" s="1" t="s">
        <v>473</v>
      </c>
      <c r="C233" s="2">
        <v>902</v>
      </c>
      <c r="D233" s="37" t="s">
        <v>6</v>
      </c>
      <c r="E233" s="37" t="s">
        <v>24</v>
      </c>
      <c r="F233" s="37"/>
      <c r="G233" s="38"/>
      <c r="H233" s="37"/>
      <c r="I233" s="37"/>
      <c r="J233" s="37"/>
      <c r="K233" s="6">
        <f>K234</f>
        <v>16763.3</v>
      </c>
    </row>
    <row r="234" spans="1:11" s="26" customFormat="1" ht="15.6" customHeight="1" x14ac:dyDescent="0.25">
      <c r="A234" s="104"/>
      <c r="B234" s="1" t="s">
        <v>407</v>
      </c>
      <c r="C234" s="2">
        <v>902</v>
      </c>
      <c r="D234" s="37" t="s">
        <v>6</v>
      </c>
      <c r="E234" s="37" t="s">
        <v>24</v>
      </c>
      <c r="F234" s="37" t="s">
        <v>23</v>
      </c>
      <c r="G234" s="38"/>
      <c r="H234" s="37"/>
      <c r="I234" s="37"/>
      <c r="J234" s="37"/>
      <c r="K234" s="6">
        <f>K235</f>
        <v>16763.3</v>
      </c>
    </row>
    <row r="235" spans="1:11" s="26" customFormat="1" ht="49.95" customHeight="1" x14ac:dyDescent="0.25">
      <c r="A235" s="104"/>
      <c r="B235" s="1" t="s">
        <v>467</v>
      </c>
      <c r="C235" s="2">
        <v>902</v>
      </c>
      <c r="D235" s="37" t="s">
        <v>6</v>
      </c>
      <c r="E235" s="37" t="s">
        <v>24</v>
      </c>
      <c r="F235" s="37" t="s">
        <v>23</v>
      </c>
      <c r="G235" s="38">
        <v>2</v>
      </c>
      <c r="H235" s="37"/>
      <c r="I235" s="37"/>
      <c r="J235" s="37"/>
      <c r="K235" s="6">
        <f>K236</f>
        <v>16763.3</v>
      </c>
    </row>
    <row r="236" spans="1:11" s="26" customFormat="1" ht="17.399999999999999" customHeight="1" x14ac:dyDescent="0.25">
      <c r="A236" s="104"/>
      <c r="B236" s="1" t="s">
        <v>469</v>
      </c>
      <c r="C236" s="2">
        <v>902</v>
      </c>
      <c r="D236" s="37" t="s">
        <v>6</v>
      </c>
      <c r="E236" s="37" t="s">
        <v>24</v>
      </c>
      <c r="F236" s="37" t="s">
        <v>23</v>
      </c>
      <c r="G236" s="38">
        <v>2</v>
      </c>
      <c r="H236" s="37" t="s">
        <v>2</v>
      </c>
      <c r="I236" s="37"/>
      <c r="J236" s="37"/>
      <c r="K236" s="6">
        <f>K237</f>
        <v>16763.3</v>
      </c>
    </row>
    <row r="237" spans="1:11" s="26" customFormat="1" ht="65.400000000000006" customHeight="1" x14ac:dyDescent="0.25">
      <c r="A237" s="104"/>
      <c r="B237" s="1" t="s">
        <v>471</v>
      </c>
      <c r="C237" s="2">
        <v>902</v>
      </c>
      <c r="D237" s="37" t="s">
        <v>6</v>
      </c>
      <c r="E237" s="37" t="s">
        <v>24</v>
      </c>
      <c r="F237" s="37" t="s">
        <v>23</v>
      </c>
      <c r="G237" s="38">
        <v>2</v>
      </c>
      <c r="H237" s="37" t="s">
        <v>2</v>
      </c>
      <c r="I237" s="37" t="s">
        <v>470</v>
      </c>
      <c r="J237" s="37"/>
      <c r="K237" s="6">
        <f>K238+K239</f>
        <v>16763.3</v>
      </c>
    </row>
    <row r="238" spans="1:11" s="26" customFormat="1" ht="31.2" x14ac:dyDescent="0.25">
      <c r="A238" s="104"/>
      <c r="B238" s="1" t="s">
        <v>123</v>
      </c>
      <c r="C238" s="2">
        <v>902</v>
      </c>
      <c r="D238" s="37" t="s">
        <v>6</v>
      </c>
      <c r="E238" s="37" t="s">
        <v>24</v>
      </c>
      <c r="F238" s="37" t="s">
        <v>23</v>
      </c>
      <c r="G238" s="38">
        <v>2</v>
      </c>
      <c r="H238" s="37" t="s">
        <v>2</v>
      </c>
      <c r="I238" s="37" t="s">
        <v>470</v>
      </c>
      <c r="J238" s="37" t="s">
        <v>49</v>
      </c>
      <c r="K238" s="6">
        <f>590+600+226.3</f>
        <v>1416.3</v>
      </c>
    </row>
    <row r="239" spans="1:11" s="26" customFormat="1" ht="31.2" x14ac:dyDescent="0.25">
      <c r="A239" s="104"/>
      <c r="B239" s="1" t="s">
        <v>75</v>
      </c>
      <c r="C239" s="2">
        <v>902</v>
      </c>
      <c r="D239" s="37" t="s">
        <v>6</v>
      </c>
      <c r="E239" s="37" t="s">
        <v>24</v>
      </c>
      <c r="F239" s="37" t="s">
        <v>23</v>
      </c>
      <c r="G239" s="38">
        <v>2</v>
      </c>
      <c r="H239" s="37" t="s">
        <v>2</v>
      </c>
      <c r="I239" s="37" t="s">
        <v>470</v>
      </c>
      <c r="J239" s="37" t="s">
        <v>54</v>
      </c>
      <c r="K239" s="6">
        <f>1209+14138</f>
        <v>15347</v>
      </c>
    </row>
    <row r="240" spans="1:11" s="26" customFormat="1" x14ac:dyDescent="0.25">
      <c r="A240" s="104"/>
      <c r="B240" s="1" t="s">
        <v>69</v>
      </c>
      <c r="C240" s="2">
        <v>902</v>
      </c>
      <c r="D240" s="37" t="s">
        <v>6</v>
      </c>
      <c r="E240" s="37" t="s">
        <v>70</v>
      </c>
      <c r="F240" s="37"/>
      <c r="G240" s="37"/>
      <c r="H240" s="37"/>
      <c r="I240" s="37"/>
      <c r="J240" s="37"/>
      <c r="K240" s="6">
        <f>SUM(K246+K241+K251)</f>
        <v>60847.3</v>
      </c>
    </row>
    <row r="241" spans="1:11" s="26" customFormat="1" x14ac:dyDescent="0.25">
      <c r="A241" s="104"/>
      <c r="B241" s="40" t="s">
        <v>415</v>
      </c>
      <c r="C241" s="2">
        <v>902</v>
      </c>
      <c r="D241" s="37" t="s">
        <v>6</v>
      </c>
      <c r="E241" s="37" t="s">
        <v>70</v>
      </c>
      <c r="F241" s="37" t="s">
        <v>5</v>
      </c>
      <c r="G241" s="37"/>
      <c r="H241" s="37"/>
      <c r="I241" s="37"/>
      <c r="J241" s="37"/>
      <c r="K241" s="6">
        <f>SUM(K242)</f>
        <v>37674</v>
      </c>
    </row>
    <row r="242" spans="1:11" s="26" customFormat="1" ht="31.2" x14ac:dyDescent="0.25">
      <c r="A242" s="104"/>
      <c r="B242" s="1" t="s">
        <v>416</v>
      </c>
      <c r="C242" s="2">
        <v>902</v>
      </c>
      <c r="D242" s="37" t="s">
        <v>6</v>
      </c>
      <c r="E242" s="37" t="s">
        <v>70</v>
      </c>
      <c r="F242" s="37" t="s">
        <v>5</v>
      </c>
      <c r="G242" s="37" t="s">
        <v>90</v>
      </c>
      <c r="H242" s="37"/>
      <c r="I242" s="37"/>
      <c r="J242" s="39"/>
      <c r="K242" s="6">
        <f>SUM(K243)</f>
        <v>37674</v>
      </c>
    </row>
    <row r="243" spans="1:11" s="26" customFormat="1" ht="62.4" x14ac:dyDescent="0.25">
      <c r="A243" s="104"/>
      <c r="B243" s="1" t="s">
        <v>417</v>
      </c>
      <c r="C243" s="2">
        <v>902</v>
      </c>
      <c r="D243" s="37" t="s">
        <v>6</v>
      </c>
      <c r="E243" s="37" t="s">
        <v>70</v>
      </c>
      <c r="F243" s="37" t="s">
        <v>5</v>
      </c>
      <c r="G243" s="37" t="s">
        <v>90</v>
      </c>
      <c r="H243" s="37" t="s">
        <v>2</v>
      </c>
      <c r="I243" s="37"/>
      <c r="J243" s="39"/>
      <c r="K243" s="6">
        <f>SUM(K244)</f>
        <v>37674</v>
      </c>
    </row>
    <row r="244" spans="1:11" s="26" customFormat="1" ht="46.8" x14ac:dyDescent="0.25">
      <c r="A244" s="104"/>
      <c r="B244" s="1" t="s">
        <v>292</v>
      </c>
      <c r="C244" s="2">
        <v>902</v>
      </c>
      <c r="D244" s="37" t="s">
        <v>6</v>
      </c>
      <c r="E244" s="37" t="s">
        <v>70</v>
      </c>
      <c r="F244" s="37" t="s">
        <v>5</v>
      </c>
      <c r="G244" s="37" t="s">
        <v>90</v>
      </c>
      <c r="H244" s="37" t="s">
        <v>2</v>
      </c>
      <c r="I244" s="37" t="s">
        <v>293</v>
      </c>
      <c r="J244" s="39"/>
      <c r="K244" s="6">
        <f>K245</f>
        <v>37674</v>
      </c>
    </row>
    <row r="245" spans="1:11" s="26" customFormat="1" ht="31.2" x14ac:dyDescent="0.25">
      <c r="A245" s="104"/>
      <c r="B245" s="1" t="s">
        <v>123</v>
      </c>
      <c r="C245" s="2">
        <v>902</v>
      </c>
      <c r="D245" s="37" t="s">
        <v>6</v>
      </c>
      <c r="E245" s="37" t="s">
        <v>70</v>
      </c>
      <c r="F245" s="37" t="s">
        <v>5</v>
      </c>
      <c r="G245" s="37" t="s">
        <v>90</v>
      </c>
      <c r="H245" s="37" t="s">
        <v>2</v>
      </c>
      <c r="I245" s="37" t="s">
        <v>293</v>
      </c>
      <c r="J245" s="39" t="s">
        <v>49</v>
      </c>
      <c r="K245" s="6">
        <f>35413.6+2260.4</f>
        <v>37674</v>
      </c>
    </row>
    <row r="246" spans="1:11" s="26" customFormat="1" ht="31.2" x14ac:dyDescent="0.25">
      <c r="A246" s="104"/>
      <c r="B246" s="40" t="s">
        <v>334</v>
      </c>
      <c r="C246" s="2">
        <v>902</v>
      </c>
      <c r="D246" s="37" t="s">
        <v>6</v>
      </c>
      <c r="E246" s="37" t="s">
        <v>70</v>
      </c>
      <c r="F246" s="37" t="s">
        <v>8</v>
      </c>
      <c r="G246" s="37"/>
      <c r="H246" s="37"/>
      <c r="I246" s="37"/>
      <c r="J246" s="37"/>
      <c r="K246" s="6">
        <f t="shared" ref="K246:K249" si="10">SUM(K247)</f>
        <v>20460.5</v>
      </c>
    </row>
    <row r="247" spans="1:11" s="26" customFormat="1" ht="31.2" x14ac:dyDescent="0.25">
      <c r="A247" s="104"/>
      <c r="B247" s="40" t="s">
        <v>335</v>
      </c>
      <c r="C247" s="2">
        <v>902</v>
      </c>
      <c r="D247" s="37" t="s">
        <v>6</v>
      </c>
      <c r="E247" s="37" t="s">
        <v>70</v>
      </c>
      <c r="F247" s="37" t="s">
        <v>8</v>
      </c>
      <c r="G247" s="37" t="s">
        <v>90</v>
      </c>
      <c r="H247" s="37"/>
      <c r="I247" s="37"/>
      <c r="J247" s="37"/>
      <c r="K247" s="6">
        <f t="shared" si="10"/>
        <v>20460.5</v>
      </c>
    </row>
    <row r="248" spans="1:11" s="26" customFormat="1" ht="31.2" x14ac:dyDescent="0.25">
      <c r="A248" s="104"/>
      <c r="B248" s="40" t="s">
        <v>91</v>
      </c>
      <c r="C248" s="2">
        <v>902</v>
      </c>
      <c r="D248" s="37" t="s">
        <v>6</v>
      </c>
      <c r="E248" s="37" t="s">
        <v>70</v>
      </c>
      <c r="F248" s="37" t="s">
        <v>8</v>
      </c>
      <c r="G248" s="37" t="s">
        <v>90</v>
      </c>
      <c r="H248" s="37" t="s">
        <v>4</v>
      </c>
      <c r="I248" s="37"/>
      <c r="J248" s="37"/>
      <c r="K248" s="6">
        <f t="shared" si="10"/>
        <v>20460.5</v>
      </c>
    </row>
    <row r="249" spans="1:11" s="26" customFormat="1" ht="31.2" x14ac:dyDescent="0.25">
      <c r="A249" s="104"/>
      <c r="B249" s="44" t="s">
        <v>241</v>
      </c>
      <c r="C249" s="2">
        <v>902</v>
      </c>
      <c r="D249" s="37" t="s">
        <v>6</v>
      </c>
      <c r="E249" s="37" t="s">
        <v>70</v>
      </c>
      <c r="F249" s="37" t="s">
        <v>8</v>
      </c>
      <c r="G249" s="37" t="s">
        <v>90</v>
      </c>
      <c r="H249" s="37" t="s">
        <v>4</v>
      </c>
      <c r="I249" s="37" t="s">
        <v>240</v>
      </c>
      <c r="J249" s="37"/>
      <c r="K249" s="6">
        <f t="shared" si="10"/>
        <v>20460.5</v>
      </c>
    </row>
    <row r="250" spans="1:11" s="26" customFormat="1" ht="31.2" x14ac:dyDescent="0.25">
      <c r="A250" s="104"/>
      <c r="B250" s="1" t="s">
        <v>123</v>
      </c>
      <c r="C250" s="2">
        <v>902</v>
      </c>
      <c r="D250" s="37" t="s">
        <v>6</v>
      </c>
      <c r="E250" s="37" t="s">
        <v>70</v>
      </c>
      <c r="F250" s="37" t="s">
        <v>8</v>
      </c>
      <c r="G250" s="37" t="s">
        <v>90</v>
      </c>
      <c r="H250" s="37" t="s">
        <v>4</v>
      </c>
      <c r="I250" s="37" t="s">
        <v>240</v>
      </c>
      <c r="J250" s="37" t="s">
        <v>49</v>
      </c>
      <c r="K250" s="6">
        <f>16689.8-120-199+67.2+2202.3+310.3+1000+509.9</f>
        <v>20460.5</v>
      </c>
    </row>
    <row r="251" spans="1:11" s="26" customFormat="1" x14ac:dyDescent="0.25">
      <c r="A251" s="104"/>
      <c r="B251" s="40" t="s">
        <v>327</v>
      </c>
      <c r="C251" s="2">
        <v>902</v>
      </c>
      <c r="D251" s="39" t="s">
        <v>6</v>
      </c>
      <c r="E251" s="39" t="s">
        <v>70</v>
      </c>
      <c r="F251" s="39" t="s">
        <v>89</v>
      </c>
      <c r="G251" s="2"/>
      <c r="H251" s="39"/>
      <c r="I251" s="39"/>
      <c r="J251" s="39"/>
      <c r="K251" s="6">
        <f>SUM(K252+K256)</f>
        <v>2712.8</v>
      </c>
    </row>
    <row r="252" spans="1:11" s="26" customFormat="1" x14ac:dyDescent="0.25">
      <c r="A252" s="104"/>
      <c r="B252" s="40" t="s">
        <v>355</v>
      </c>
      <c r="C252" s="2">
        <v>902</v>
      </c>
      <c r="D252" s="39" t="s">
        <v>6</v>
      </c>
      <c r="E252" s="39" t="s">
        <v>70</v>
      </c>
      <c r="F252" s="39" t="s">
        <v>89</v>
      </c>
      <c r="G252" s="2">
        <v>1</v>
      </c>
      <c r="H252" s="39"/>
      <c r="I252" s="39"/>
      <c r="J252" s="39"/>
      <c r="K252" s="6">
        <f t="shared" ref="K252:K253" si="11">SUM(K253)</f>
        <v>1744.4</v>
      </c>
    </row>
    <row r="253" spans="1:11" s="26" customFormat="1" ht="46.8" x14ac:dyDescent="0.25">
      <c r="A253" s="104"/>
      <c r="B253" s="40" t="s">
        <v>356</v>
      </c>
      <c r="C253" s="2">
        <v>902</v>
      </c>
      <c r="D253" s="39" t="s">
        <v>6</v>
      </c>
      <c r="E253" s="39" t="s">
        <v>70</v>
      </c>
      <c r="F253" s="39" t="s">
        <v>89</v>
      </c>
      <c r="G253" s="2">
        <v>1</v>
      </c>
      <c r="H253" s="39" t="s">
        <v>2</v>
      </c>
      <c r="I253" s="39"/>
      <c r="J253" s="39"/>
      <c r="K253" s="6">
        <f t="shared" si="11"/>
        <v>1744.4</v>
      </c>
    </row>
    <row r="254" spans="1:11" s="26" customFormat="1" ht="31.2" x14ac:dyDescent="0.25">
      <c r="A254" s="104"/>
      <c r="B254" s="40" t="s">
        <v>514</v>
      </c>
      <c r="C254" s="2">
        <v>902</v>
      </c>
      <c r="D254" s="39" t="s">
        <v>6</v>
      </c>
      <c r="E254" s="39" t="s">
        <v>70</v>
      </c>
      <c r="F254" s="39" t="s">
        <v>89</v>
      </c>
      <c r="G254" s="2">
        <v>1</v>
      </c>
      <c r="H254" s="39" t="s">
        <v>2</v>
      </c>
      <c r="I254" s="39" t="s">
        <v>93</v>
      </c>
      <c r="J254" s="39"/>
      <c r="K254" s="6">
        <f>K255</f>
        <v>1744.4</v>
      </c>
    </row>
    <row r="255" spans="1:11" s="26" customFormat="1" ht="31.2" x14ac:dyDescent="0.25">
      <c r="A255" s="104"/>
      <c r="B255" s="1" t="s">
        <v>123</v>
      </c>
      <c r="C255" s="2">
        <v>902</v>
      </c>
      <c r="D255" s="39" t="s">
        <v>6</v>
      </c>
      <c r="E255" s="39" t="s">
        <v>70</v>
      </c>
      <c r="F255" s="39" t="s">
        <v>89</v>
      </c>
      <c r="G255" s="2">
        <v>1</v>
      </c>
      <c r="H255" s="39" t="s">
        <v>2</v>
      </c>
      <c r="I255" s="39" t="s">
        <v>93</v>
      </c>
      <c r="J255" s="39" t="s">
        <v>49</v>
      </c>
      <c r="K255" s="6">
        <v>1744.4</v>
      </c>
    </row>
    <row r="256" spans="1:11" s="26" customFormat="1" ht="46.8" x14ac:dyDescent="0.25">
      <c r="A256" s="104"/>
      <c r="B256" s="1" t="s">
        <v>357</v>
      </c>
      <c r="C256" s="2">
        <v>902</v>
      </c>
      <c r="D256" s="39" t="s">
        <v>6</v>
      </c>
      <c r="E256" s="39" t="s">
        <v>70</v>
      </c>
      <c r="F256" s="37" t="s">
        <v>89</v>
      </c>
      <c r="G256" s="37" t="s">
        <v>139</v>
      </c>
      <c r="H256" s="37"/>
      <c r="I256" s="37"/>
      <c r="J256" s="39"/>
      <c r="K256" s="6">
        <f t="shared" ref="K256:K258" si="12">K257</f>
        <v>968.4</v>
      </c>
    </row>
    <row r="257" spans="1:13" s="26" customFormat="1" ht="46.8" x14ac:dyDescent="0.25">
      <c r="A257" s="104"/>
      <c r="B257" s="1" t="s">
        <v>358</v>
      </c>
      <c r="C257" s="2">
        <v>902</v>
      </c>
      <c r="D257" s="39" t="s">
        <v>6</v>
      </c>
      <c r="E257" s="39" t="s">
        <v>70</v>
      </c>
      <c r="F257" s="37" t="s">
        <v>89</v>
      </c>
      <c r="G257" s="37" t="s">
        <v>139</v>
      </c>
      <c r="H257" s="37" t="s">
        <v>2</v>
      </c>
      <c r="I257" s="37"/>
      <c r="J257" s="39"/>
      <c r="K257" s="6">
        <f t="shared" si="12"/>
        <v>968.4</v>
      </c>
    </row>
    <row r="258" spans="1:13" s="26" customFormat="1" ht="46.8" x14ac:dyDescent="0.25">
      <c r="A258" s="104"/>
      <c r="B258" s="1" t="s">
        <v>359</v>
      </c>
      <c r="C258" s="2">
        <v>902</v>
      </c>
      <c r="D258" s="39" t="s">
        <v>6</v>
      </c>
      <c r="E258" s="39" t="s">
        <v>70</v>
      </c>
      <c r="F258" s="37" t="s">
        <v>89</v>
      </c>
      <c r="G258" s="37" t="s">
        <v>139</v>
      </c>
      <c r="H258" s="37" t="s">
        <v>2</v>
      </c>
      <c r="I258" s="37" t="s">
        <v>210</v>
      </c>
      <c r="J258" s="39"/>
      <c r="K258" s="6">
        <f t="shared" si="12"/>
        <v>968.4</v>
      </c>
    </row>
    <row r="259" spans="1:13" s="26" customFormat="1" ht="31.2" x14ac:dyDescent="0.25">
      <c r="A259" s="104"/>
      <c r="B259" s="1" t="s">
        <v>123</v>
      </c>
      <c r="C259" s="2">
        <v>902</v>
      </c>
      <c r="D259" s="39" t="s">
        <v>6</v>
      </c>
      <c r="E259" s="39" t="s">
        <v>70</v>
      </c>
      <c r="F259" s="37" t="s">
        <v>89</v>
      </c>
      <c r="G259" s="37" t="s">
        <v>139</v>
      </c>
      <c r="H259" s="37" t="s">
        <v>2</v>
      </c>
      <c r="I259" s="37" t="s">
        <v>210</v>
      </c>
      <c r="J259" s="39" t="s">
        <v>49</v>
      </c>
      <c r="K259" s="6">
        <v>968.4</v>
      </c>
    </row>
    <row r="260" spans="1:13" s="26" customFormat="1" x14ac:dyDescent="0.25">
      <c r="A260" s="104"/>
      <c r="B260" s="1" t="s">
        <v>41</v>
      </c>
      <c r="C260" s="2">
        <v>902</v>
      </c>
      <c r="D260" s="39" t="s">
        <v>7</v>
      </c>
      <c r="E260" s="37"/>
      <c r="F260" s="37"/>
      <c r="G260" s="38"/>
      <c r="H260" s="37"/>
      <c r="I260" s="37"/>
      <c r="J260" s="37"/>
      <c r="K260" s="6">
        <f>SUM(K261+K280)</f>
        <v>11483989.899999997</v>
      </c>
      <c r="L260" s="45"/>
      <c r="M260" s="45"/>
    </row>
    <row r="261" spans="1:13" s="26" customFormat="1" x14ac:dyDescent="0.25">
      <c r="A261" s="104"/>
      <c r="B261" s="1" t="s">
        <v>261</v>
      </c>
      <c r="C261" s="2">
        <v>902</v>
      </c>
      <c r="D261" s="39" t="s">
        <v>7</v>
      </c>
      <c r="E261" s="37" t="s">
        <v>4</v>
      </c>
      <c r="F261" s="37"/>
      <c r="G261" s="38"/>
      <c r="H261" s="37"/>
      <c r="I261" s="37"/>
      <c r="J261" s="37"/>
      <c r="K261" s="6">
        <f>K262+K277</f>
        <v>11439814.299999997</v>
      </c>
      <c r="L261" s="45"/>
      <c r="M261" s="45"/>
    </row>
    <row r="262" spans="1:13" s="26" customFormat="1" x14ac:dyDescent="0.25">
      <c r="A262" s="104"/>
      <c r="B262" s="40" t="s">
        <v>378</v>
      </c>
      <c r="C262" s="2">
        <v>902</v>
      </c>
      <c r="D262" s="39" t="s">
        <v>7</v>
      </c>
      <c r="E262" s="37" t="s">
        <v>4</v>
      </c>
      <c r="F262" s="37" t="s">
        <v>4</v>
      </c>
      <c r="G262" s="37"/>
      <c r="H262" s="37"/>
      <c r="I262" s="37"/>
      <c r="J262" s="39"/>
      <c r="K262" s="6">
        <f>K263</f>
        <v>11418577.199999997</v>
      </c>
      <c r="L262" s="45"/>
      <c r="M262" s="45"/>
    </row>
    <row r="263" spans="1:13" s="26" customFormat="1" ht="62.4" x14ac:dyDescent="0.25">
      <c r="A263" s="104"/>
      <c r="B263" s="1" t="s">
        <v>500</v>
      </c>
      <c r="C263" s="2">
        <v>902</v>
      </c>
      <c r="D263" s="39" t="s">
        <v>7</v>
      </c>
      <c r="E263" s="37" t="s">
        <v>4</v>
      </c>
      <c r="F263" s="37" t="s">
        <v>4</v>
      </c>
      <c r="G263" s="37" t="s">
        <v>90</v>
      </c>
      <c r="H263" s="37"/>
      <c r="I263" s="37"/>
      <c r="J263" s="39"/>
      <c r="K263" s="6">
        <f>K264</f>
        <v>11418577.199999997</v>
      </c>
      <c r="L263" s="45"/>
      <c r="M263" s="45"/>
    </row>
    <row r="264" spans="1:13" s="26" customFormat="1" ht="31.2" x14ac:dyDescent="0.25">
      <c r="A264" s="104"/>
      <c r="B264" s="40" t="s">
        <v>501</v>
      </c>
      <c r="C264" s="2">
        <v>902</v>
      </c>
      <c r="D264" s="39" t="s">
        <v>7</v>
      </c>
      <c r="E264" s="37" t="s">
        <v>4</v>
      </c>
      <c r="F264" s="37" t="s">
        <v>4</v>
      </c>
      <c r="G264" s="37" t="s">
        <v>90</v>
      </c>
      <c r="H264" s="37" t="s">
        <v>2</v>
      </c>
      <c r="I264" s="37"/>
      <c r="J264" s="39"/>
      <c r="K264" s="6">
        <f>K267+K273+K265+K269+K271+K275</f>
        <v>11418577.199999997</v>
      </c>
    </row>
    <row r="265" spans="1:13" s="26" customFormat="1" x14ac:dyDescent="0.25">
      <c r="A265" s="104"/>
      <c r="B265" s="40" t="s">
        <v>551</v>
      </c>
      <c r="C265" s="2">
        <v>902</v>
      </c>
      <c r="D265" s="39" t="s">
        <v>7</v>
      </c>
      <c r="E265" s="37" t="s">
        <v>4</v>
      </c>
      <c r="F265" s="37" t="s">
        <v>4</v>
      </c>
      <c r="G265" s="37" t="s">
        <v>90</v>
      </c>
      <c r="H265" s="37" t="s">
        <v>2</v>
      </c>
      <c r="I265" s="37" t="s">
        <v>550</v>
      </c>
      <c r="J265" s="39"/>
      <c r="K265" s="6">
        <f>K266</f>
        <v>12.9</v>
      </c>
    </row>
    <row r="266" spans="1:13" s="26" customFormat="1" ht="31.2" x14ac:dyDescent="0.25">
      <c r="A266" s="104"/>
      <c r="B266" s="1" t="s">
        <v>123</v>
      </c>
      <c r="C266" s="2">
        <v>902</v>
      </c>
      <c r="D266" s="39" t="s">
        <v>7</v>
      </c>
      <c r="E266" s="37" t="s">
        <v>4</v>
      </c>
      <c r="F266" s="37" t="s">
        <v>4</v>
      </c>
      <c r="G266" s="37" t="s">
        <v>90</v>
      </c>
      <c r="H266" s="37" t="s">
        <v>2</v>
      </c>
      <c r="I266" s="37" t="s">
        <v>550</v>
      </c>
      <c r="J266" s="39" t="s">
        <v>49</v>
      </c>
      <c r="K266" s="6">
        <f>12.8+0.1</f>
        <v>12.9</v>
      </c>
    </row>
    <row r="267" spans="1:13" s="26" customFormat="1" x14ac:dyDescent="0.25">
      <c r="A267" s="104"/>
      <c r="B267" s="1" t="s">
        <v>427</v>
      </c>
      <c r="C267" s="2">
        <v>902</v>
      </c>
      <c r="D267" s="39" t="s">
        <v>7</v>
      </c>
      <c r="E267" s="37" t="s">
        <v>4</v>
      </c>
      <c r="F267" s="37" t="s">
        <v>4</v>
      </c>
      <c r="G267" s="37" t="s">
        <v>90</v>
      </c>
      <c r="H267" s="37" t="s">
        <v>2</v>
      </c>
      <c r="I267" s="37" t="s">
        <v>602</v>
      </c>
      <c r="J267" s="39"/>
      <c r="K267" s="6">
        <f>K268</f>
        <v>11110322.799999999</v>
      </c>
    </row>
    <row r="268" spans="1:13" s="26" customFormat="1" ht="31.2" x14ac:dyDescent="0.25">
      <c r="A268" s="104"/>
      <c r="B268" s="40" t="s">
        <v>75</v>
      </c>
      <c r="C268" s="2">
        <v>902</v>
      </c>
      <c r="D268" s="39" t="s">
        <v>7</v>
      </c>
      <c r="E268" s="37" t="s">
        <v>4</v>
      </c>
      <c r="F268" s="37" t="s">
        <v>4</v>
      </c>
      <c r="G268" s="37" t="s">
        <v>90</v>
      </c>
      <c r="H268" s="37" t="s">
        <v>2</v>
      </c>
      <c r="I268" s="37" t="s">
        <v>602</v>
      </c>
      <c r="J268" s="39" t="s">
        <v>54</v>
      </c>
      <c r="K268" s="6">
        <f>11054174.2+55548.6+600</f>
        <v>11110322.799999999</v>
      </c>
    </row>
    <row r="269" spans="1:13" s="26" customFormat="1" x14ac:dyDescent="0.25">
      <c r="A269" s="104"/>
      <c r="B269" s="1" t="s">
        <v>558</v>
      </c>
      <c r="C269" s="2">
        <v>902</v>
      </c>
      <c r="D269" s="39" t="s">
        <v>7</v>
      </c>
      <c r="E269" s="37" t="s">
        <v>4</v>
      </c>
      <c r="F269" s="37" t="s">
        <v>4</v>
      </c>
      <c r="G269" s="37" t="s">
        <v>90</v>
      </c>
      <c r="H269" s="37" t="s">
        <v>2</v>
      </c>
      <c r="I269" s="37" t="s">
        <v>557</v>
      </c>
      <c r="J269" s="39"/>
      <c r="K269" s="6">
        <f>K270</f>
        <v>7803.7000000000007</v>
      </c>
    </row>
    <row r="270" spans="1:13" s="26" customFormat="1" ht="31.2" x14ac:dyDescent="0.25">
      <c r="A270" s="104"/>
      <c r="B270" s="1" t="s">
        <v>75</v>
      </c>
      <c r="C270" s="2">
        <v>902</v>
      </c>
      <c r="D270" s="39" t="s">
        <v>7</v>
      </c>
      <c r="E270" s="37" t="s">
        <v>4</v>
      </c>
      <c r="F270" s="37" t="s">
        <v>4</v>
      </c>
      <c r="G270" s="37" t="s">
        <v>90</v>
      </c>
      <c r="H270" s="37" t="s">
        <v>2</v>
      </c>
      <c r="I270" s="37" t="s">
        <v>557</v>
      </c>
      <c r="J270" s="39" t="s">
        <v>54</v>
      </c>
      <c r="K270" s="6">
        <f>386.1+7335.5+82.1</f>
        <v>7803.7000000000007</v>
      </c>
    </row>
    <row r="271" spans="1:13" s="26" customFormat="1" x14ac:dyDescent="0.25">
      <c r="A271" s="104"/>
      <c r="B271" s="1" t="s">
        <v>422</v>
      </c>
      <c r="C271" s="2">
        <v>902</v>
      </c>
      <c r="D271" s="39" t="s">
        <v>7</v>
      </c>
      <c r="E271" s="37" t="s">
        <v>4</v>
      </c>
      <c r="F271" s="37" t="s">
        <v>4</v>
      </c>
      <c r="G271" s="37" t="s">
        <v>90</v>
      </c>
      <c r="H271" s="37" t="s">
        <v>2</v>
      </c>
      <c r="I271" s="37" t="s">
        <v>423</v>
      </c>
      <c r="J271" s="39"/>
      <c r="K271" s="6">
        <f>K272</f>
        <v>11755.7</v>
      </c>
    </row>
    <row r="272" spans="1:13" s="26" customFormat="1" ht="31.2" x14ac:dyDescent="0.25">
      <c r="A272" s="104"/>
      <c r="B272" s="1" t="s">
        <v>75</v>
      </c>
      <c r="C272" s="2">
        <v>902</v>
      </c>
      <c r="D272" s="39" t="s">
        <v>7</v>
      </c>
      <c r="E272" s="37" t="s">
        <v>4</v>
      </c>
      <c r="F272" s="37" t="s">
        <v>4</v>
      </c>
      <c r="G272" s="37" t="s">
        <v>90</v>
      </c>
      <c r="H272" s="37" t="s">
        <v>2</v>
      </c>
      <c r="I272" s="37" t="s">
        <v>423</v>
      </c>
      <c r="J272" s="39" t="s">
        <v>54</v>
      </c>
      <c r="K272" s="6">
        <f>581.6+5738+5312.4+123.7</f>
        <v>11755.7</v>
      </c>
    </row>
    <row r="273" spans="1:11" s="26" customFormat="1" ht="31.2" x14ac:dyDescent="0.25">
      <c r="A273" s="104"/>
      <c r="B273" s="1" t="s">
        <v>425</v>
      </c>
      <c r="C273" s="2">
        <v>902</v>
      </c>
      <c r="D273" s="39" t="s">
        <v>7</v>
      </c>
      <c r="E273" s="37" t="s">
        <v>4</v>
      </c>
      <c r="F273" s="37" t="s">
        <v>4</v>
      </c>
      <c r="G273" s="37" t="s">
        <v>90</v>
      </c>
      <c r="H273" s="37" t="s">
        <v>2</v>
      </c>
      <c r="I273" s="37" t="s">
        <v>424</v>
      </c>
      <c r="J273" s="39"/>
      <c r="K273" s="6">
        <f>K274</f>
        <v>285845.90000000002</v>
      </c>
    </row>
    <row r="274" spans="1:11" s="26" customFormat="1" ht="31.2" x14ac:dyDescent="0.25">
      <c r="A274" s="104"/>
      <c r="B274" s="40" t="s">
        <v>75</v>
      </c>
      <c r="C274" s="2">
        <v>902</v>
      </c>
      <c r="D274" s="39" t="s">
        <v>7</v>
      </c>
      <c r="E274" s="37" t="s">
        <v>4</v>
      </c>
      <c r="F274" s="37" t="s">
        <v>4</v>
      </c>
      <c r="G274" s="37" t="s">
        <v>90</v>
      </c>
      <c r="H274" s="37" t="s">
        <v>2</v>
      </c>
      <c r="I274" s="37" t="s">
        <v>424</v>
      </c>
      <c r="J274" s="39" t="s">
        <v>54</v>
      </c>
      <c r="K274" s="6">
        <f>178691.8+37466.1-928.5+12538.2+2687.4-446.9+55701.8+20.2+115.7+0.1</f>
        <v>285845.90000000002</v>
      </c>
    </row>
    <row r="275" spans="1:11" s="26" customFormat="1" ht="46.8" x14ac:dyDescent="0.25">
      <c r="A275" s="104"/>
      <c r="B275" s="1" t="s">
        <v>574</v>
      </c>
      <c r="C275" s="2">
        <v>902</v>
      </c>
      <c r="D275" s="39" t="s">
        <v>7</v>
      </c>
      <c r="E275" s="37" t="s">
        <v>4</v>
      </c>
      <c r="F275" s="37" t="s">
        <v>4</v>
      </c>
      <c r="G275" s="37" t="s">
        <v>90</v>
      </c>
      <c r="H275" s="37" t="s">
        <v>2</v>
      </c>
      <c r="I275" s="37" t="s">
        <v>485</v>
      </c>
      <c r="J275" s="39"/>
      <c r="K275" s="6">
        <f>K276</f>
        <v>2836.2000000000003</v>
      </c>
    </row>
    <row r="276" spans="1:11" s="26" customFormat="1" ht="31.2" x14ac:dyDescent="0.25">
      <c r="A276" s="104"/>
      <c r="B276" s="1" t="s">
        <v>75</v>
      </c>
      <c r="C276" s="2">
        <v>902</v>
      </c>
      <c r="D276" s="39" t="s">
        <v>7</v>
      </c>
      <c r="E276" s="37" t="s">
        <v>4</v>
      </c>
      <c r="F276" s="37" t="s">
        <v>4</v>
      </c>
      <c r="G276" s="37" t="s">
        <v>90</v>
      </c>
      <c r="H276" s="37" t="s">
        <v>2</v>
      </c>
      <c r="I276" s="37" t="s">
        <v>485</v>
      </c>
      <c r="J276" s="39" t="s">
        <v>54</v>
      </c>
      <c r="K276" s="6">
        <f>1412+446.9+643+450-115.7</f>
        <v>2836.2000000000003</v>
      </c>
    </row>
    <row r="277" spans="1:11" s="26" customFormat="1" x14ac:dyDescent="0.25">
      <c r="A277" s="104"/>
      <c r="B277" s="1" t="s">
        <v>53</v>
      </c>
      <c r="C277" s="2">
        <v>902</v>
      </c>
      <c r="D277" s="39" t="s">
        <v>7</v>
      </c>
      <c r="E277" s="37" t="s">
        <v>4</v>
      </c>
      <c r="F277" s="37" t="s">
        <v>456</v>
      </c>
      <c r="G277" s="37"/>
      <c r="H277" s="37"/>
      <c r="I277" s="37"/>
      <c r="J277" s="39"/>
      <c r="K277" s="6">
        <f>K278</f>
        <v>21237.1</v>
      </c>
    </row>
    <row r="278" spans="1:11" s="26" customFormat="1" x14ac:dyDescent="0.25">
      <c r="A278" s="104"/>
      <c r="B278" s="1" t="s">
        <v>598</v>
      </c>
      <c r="C278" s="2">
        <v>902</v>
      </c>
      <c r="D278" s="39" t="s">
        <v>7</v>
      </c>
      <c r="E278" s="37" t="s">
        <v>4</v>
      </c>
      <c r="F278" s="37" t="s">
        <v>456</v>
      </c>
      <c r="G278" s="37" t="s">
        <v>599</v>
      </c>
      <c r="H278" s="37" t="s">
        <v>77</v>
      </c>
      <c r="I278" s="37" t="s">
        <v>600</v>
      </c>
      <c r="J278" s="39"/>
      <c r="K278" s="6">
        <f>K279</f>
        <v>21237.1</v>
      </c>
    </row>
    <row r="279" spans="1:11" s="26" customFormat="1" ht="31.2" x14ac:dyDescent="0.25">
      <c r="A279" s="104"/>
      <c r="B279" s="46" t="s">
        <v>123</v>
      </c>
      <c r="C279" s="2">
        <v>902</v>
      </c>
      <c r="D279" s="39" t="s">
        <v>7</v>
      </c>
      <c r="E279" s="37" t="s">
        <v>4</v>
      </c>
      <c r="F279" s="37" t="s">
        <v>456</v>
      </c>
      <c r="G279" s="37" t="s">
        <v>599</v>
      </c>
      <c r="H279" s="37" t="s">
        <v>77</v>
      </c>
      <c r="I279" s="37" t="s">
        <v>600</v>
      </c>
      <c r="J279" s="39" t="s">
        <v>49</v>
      </c>
      <c r="K279" s="6">
        <f>237.1+21000</f>
        <v>21237.1</v>
      </c>
    </row>
    <row r="280" spans="1:11" s="26" customFormat="1" x14ac:dyDescent="0.25">
      <c r="A280" s="104"/>
      <c r="B280" s="40" t="s">
        <v>474</v>
      </c>
      <c r="C280" s="2">
        <v>902</v>
      </c>
      <c r="D280" s="39" t="s">
        <v>7</v>
      </c>
      <c r="E280" s="37" t="s">
        <v>5</v>
      </c>
      <c r="F280" s="37"/>
      <c r="G280" s="37"/>
      <c r="H280" s="37"/>
      <c r="I280" s="37"/>
      <c r="J280" s="39"/>
      <c r="K280" s="6">
        <f>K281</f>
        <v>44175.6</v>
      </c>
    </row>
    <row r="281" spans="1:11" s="26" customFormat="1" x14ac:dyDescent="0.25">
      <c r="A281" s="104"/>
      <c r="B281" s="40" t="s">
        <v>547</v>
      </c>
      <c r="C281" s="2">
        <v>902</v>
      </c>
      <c r="D281" s="39" t="s">
        <v>7</v>
      </c>
      <c r="E281" s="37" t="s">
        <v>5</v>
      </c>
      <c r="F281" s="37" t="s">
        <v>30</v>
      </c>
      <c r="G281" s="37"/>
      <c r="H281" s="37"/>
      <c r="I281" s="37"/>
      <c r="J281" s="39"/>
      <c r="K281" s="6">
        <f>K282</f>
        <v>44175.6</v>
      </c>
    </row>
    <row r="282" spans="1:11" s="26" customFormat="1" x14ac:dyDescent="0.25">
      <c r="A282" s="104"/>
      <c r="B282" s="40" t="s">
        <v>508</v>
      </c>
      <c r="C282" s="2">
        <v>902</v>
      </c>
      <c r="D282" s="39" t="s">
        <v>7</v>
      </c>
      <c r="E282" s="37" t="s">
        <v>5</v>
      </c>
      <c r="F282" s="37" t="s">
        <v>30</v>
      </c>
      <c r="G282" s="37" t="s">
        <v>117</v>
      </c>
      <c r="H282" s="37"/>
      <c r="I282" s="37"/>
      <c r="J282" s="39"/>
      <c r="K282" s="6">
        <f>K283</f>
        <v>44175.6</v>
      </c>
    </row>
    <row r="283" spans="1:11" s="26" customFormat="1" ht="31.2" x14ac:dyDescent="0.25">
      <c r="A283" s="104"/>
      <c r="B283" s="40" t="s">
        <v>548</v>
      </c>
      <c r="C283" s="2">
        <v>902</v>
      </c>
      <c r="D283" s="39" t="s">
        <v>7</v>
      </c>
      <c r="E283" s="37" t="s">
        <v>5</v>
      </c>
      <c r="F283" s="37" t="s">
        <v>30</v>
      </c>
      <c r="G283" s="37" t="s">
        <v>117</v>
      </c>
      <c r="H283" s="37" t="s">
        <v>2</v>
      </c>
      <c r="I283" s="37"/>
      <c r="J283" s="39"/>
      <c r="K283" s="6">
        <f>K288+K290+K284+K286</f>
        <v>44175.6</v>
      </c>
    </row>
    <row r="284" spans="1:11" s="26" customFormat="1" x14ac:dyDescent="0.25">
      <c r="A284" s="104"/>
      <c r="B284" s="43" t="s">
        <v>553</v>
      </c>
      <c r="C284" s="2">
        <v>902</v>
      </c>
      <c r="D284" s="39" t="s">
        <v>7</v>
      </c>
      <c r="E284" s="37" t="s">
        <v>5</v>
      </c>
      <c r="F284" s="37" t="s">
        <v>30</v>
      </c>
      <c r="G284" s="37" t="s">
        <v>117</v>
      </c>
      <c r="H284" s="37" t="s">
        <v>2</v>
      </c>
      <c r="I284" s="37" t="s">
        <v>560</v>
      </c>
      <c r="J284" s="39"/>
      <c r="K284" s="6">
        <f>K285</f>
        <v>964.4</v>
      </c>
    </row>
    <row r="285" spans="1:11" s="26" customFormat="1" ht="31.2" x14ac:dyDescent="0.25">
      <c r="A285" s="104"/>
      <c r="B285" s="46" t="s">
        <v>123</v>
      </c>
      <c r="C285" s="2">
        <v>902</v>
      </c>
      <c r="D285" s="39" t="s">
        <v>7</v>
      </c>
      <c r="E285" s="37" t="s">
        <v>5</v>
      </c>
      <c r="F285" s="37" t="s">
        <v>30</v>
      </c>
      <c r="G285" s="37" t="s">
        <v>117</v>
      </c>
      <c r="H285" s="37" t="s">
        <v>2</v>
      </c>
      <c r="I285" s="37" t="s">
        <v>560</v>
      </c>
      <c r="J285" s="39" t="s">
        <v>49</v>
      </c>
      <c r="K285" s="6">
        <v>964.4</v>
      </c>
    </row>
    <row r="286" spans="1:11" s="26" customFormat="1" x14ac:dyDescent="0.25">
      <c r="A286" s="104"/>
      <c r="B286" s="43" t="s">
        <v>562</v>
      </c>
      <c r="C286" s="2">
        <v>902</v>
      </c>
      <c r="D286" s="39" t="s">
        <v>7</v>
      </c>
      <c r="E286" s="37" t="s">
        <v>5</v>
      </c>
      <c r="F286" s="37" t="s">
        <v>30</v>
      </c>
      <c r="G286" s="37" t="s">
        <v>117</v>
      </c>
      <c r="H286" s="37" t="s">
        <v>2</v>
      </c>
      <c r="I286" s="37" t="s">
        <v>561</v>
      </c>
      <c r="J286" s="39"/>
      <c r="K286" s="6">
        <f>K287</f>
        <v>947</v>
      </c>
    </row>
    <row r="287" spans="1:11" s="26" customFormat="1" ht="31.2" x14ac:dyDescent="0.25">
      <c r="A287" s="104"/>
      <c r="B287" s="46" t="s">
        <v>123</v>
      </c>
      <c r="C287" s="2">
        <v>902</v>
      </c>
      <c r="D287" s="39" t="s">
        <v>7</v>
      </c>
      <c r="E287" s="37" t="s">
        <v>5</v>
      </c>
      <c r="F287" s="37" t="s">
        <v>30</v>
      </c>
      <c r="G287" s="37" t="s">
        <v>117</v>
      </c>
      <c r="H287" s="37" t="s">
        <v>2</v>
      </c>
      <c r="I287" s="37" t="s">
        <v>561</v>
      </c>
      <c r="J287" s="39" t="s">
        <v>49</v>
      </c>
      <c r="K287" s="6">
        <v>947</v>
      </c>
    </row>
    <row r="288" spans="1:11" s="26" customFormat="1" x14ac:dyDescent="0.25">
      <c r="A288" s="104"/>
      <c r="B288" s="40" t="s">
        <v>549</v>
      </c>
      <c r="C288" s="2">
        <v>902</v>
      </c>
      <c r="D288" s="39" t="s">
        <v>7</v>
      </c>
      <c r="E288" s="37" t="s">
        <v>5</v>
      </c>
      <c r="F288" s="37" t="s">
        <v>30</v>
      </c>
      <c r="G288" s="37" t="s">
        <v>117</v>
      </c>
      <c r="H288" s="37" t="s">
        <v>2</v>
      </c>
      <c r="I288" s="37" t="s">
        <v>546</v>
      </c>
      <c r="J288" s="39"/>
      <c r="K288" s="6">
        <f>K289</f>
        <v>38740.1</v>
      </c>
    </row>
    <row r="289" spans="1:11" s="26" customFormat="1" ht="31.2" x14ac:dyDescent="0.25">
      <c r="A289" s="104"/>
      <c r="B289" s="1" t="s">
        <v>123</v>
      </c>
      <c r="C289" s="2">
        <v>902</v>
      </c>
      <c r="D289" s="39" t="s">
        <v>7</v>
      </c>
      <c r="E289" s="37" t="s">
        <v>5</v>
      </c>
      <c r="F289" s="37" t="s">
        <v>30</v>
      </c>
      <c r="G289" s="37" t="s">
        <v>117</v>
      </c>
      <c r="H289" s="37" t="s">
        <v>2</v>
      </c>
      <c r="I289" s="37" t="s">
        <v>546</v>
      </c>
      <c r="J289" s="39" t="s">
        <v>49</v>
      </c>
      <c r="K289" s="6">
        <f>36.8+48+271.8+124.6+137.8+160.8+78.3+210.8+318+546.1+36807.2-0.1</f>
        <v>38740.1</v>
      </c>
    </row>
    <row r="290" spans="1:11" s="26" customFormat="1" x14ac:dyDescent="0.25">
      <c r="A290" s="104"/>
      <c r="B290" s="1" t="s">
        <v>553</v>
      </c>
      <c r="C290" s="2">
        <v>902</v>
      </c>
      <c r="D290" s="39" t="s">
        <v>7</v>
      </c>
      <c r="E290" s="37" t="s">
        <v>5</v>
      </c>
      <c r="F290" s="37" t="s">
        <v>30</v>
      </c>
      <c r="G290" s="37" t="s">
        <v>117</v>
      </c>
      <c r="H290" s="37" t="s">
        <v>2</v>
      </c>
      <c r="I290" s="37" t="s">
        <v>462</v>
      </c>
      <c r="J290" s="39"/>
      <c r="K290" s="6">
        <f>K291</f>
        <v>3524.1</v>
      </c>
    </row>
    <row r="291" spans="1:11" s="26" customFormat="1" ht="31.2" x14ac:dyDescent="0.25">
      <c r="A291" s="104"/>
      <c r="B291" s="1" t="s">
        <v>123</v>
      </c>
      <c r="C291" s="2">
        <v>902</v>
      </c>
      <c r="D291" s="39" t="s">
        <v>7</v>
      </c>
      <c r="E291" s="37" t="s">
        <v>5</v>
      </c>
      <c r="F291" s="37" t="s">
        <v>30</v>
      </c>
      <c r="G291" s="37" t="s">
        <v>117</v>
      </c>
      <c r="H291" s="37" t="s">
        <v>2</v>
      </c>
      <c r="I291" s="37" t="s">
        <v>462</v>
      </c>
      <c r="J291" s="39" t="s">
        <v>49</v>
      </c>
      <c r="K291" s="6">
        <f>35.7+172.2+3316.2+546.1-546.1</f>
        <v>3524.1</v>
      </c>
    </row>
    <row r="292" spans="1:11" s="26" customFormat="1" x14ac:dyDescent="0.25">
      <c r="A292" s="104"/>
      <c r="B292" s="1" t="s">
        <v>18</v>
      </c>
      <c r="C292" s="2">
        <v>902</v>
      </c>
      <c r="D292" s="39" t="s">
        <v>8</v>
      </c>
      <c r="E292" s="39"/>
      <c r="F292" s="37"/>
      <c r="G292" s="37"/>
      <c r="H292" s="37"/>
      <c r="I292" s="37"/>
      <c r="J292" s="39"/>
      <c r="K292" s="6">
        <f t="shared" ref="K292:K297" si="13">K293</f>
        <v>514.4</v>
      </c>
    </row>
    <row r="293" spans="1:11" s="26" customFormat="1" ht="17.25" customHeight="1" x14ac:dyDescent="0.25">
      <c r="A293" s="104"/>
      <c r="B293" s="1" t="s">
        <v>235</v>
      </c>
      <c r="C293" s="2">
        <v>902</v>
      </c>
      <c r="D293" s="39" t="s">
        <v>8</v>
      </c>
      <c r="E293" s="39" t="s">
        <v>7</v>
      </c>
      <c r="F293" s="37"/>
      <c r="G293" s="37"/>
      <c r="H293" s="37"/>
      <c r="I293" s="37"/>
      <c r="J293" s="39"/>
      <c r="K293" s="6">
        <f t="shared" si="13"/>
        <v>514.4</v>
      </c>
    </row>
    <row r="294" spans="1:11" s="26" customFormat="1" ht="31.2" x14ac:dyDescent="0.25">
      <c r="A294" s="104"/>
      <c r="B294" s="1" t="s">
        <v>334</v>
      </c>
      <c r="C294" s="2">
        <v>902</v>
      </c>
      <c r="D294" s="39" t="s">
        <v>8</v>
      </c>
      <c r="E294" s="39" t="s">
        <v>7</v>
      </c>
      <c r="F294" s="37" t="s">
        <v>8</v>
      </c>
      <c r="G294" s="37"/>
      <c r="H294" s="37"/>
      <c r="I294" s="37"/>
      <c r="J294" s="39"/>
      <c r="K294" s="6">
        <f t="shared" si="13"/>
        <v>514.4</v>
      </c>
    </row>
    <row r="295" spans="1:11" s="26" customFormat="1" ht="31.2" x14ac:dyDescent="0.25">
      <c r="A295" s="104"/>
      <c r="B295" s="1" t="s">
        <v>335</v>
      </c>
      <c r="C295" s="2">
        <v>902</v>
      </c>
      <c r="D295" s="39" t="s">
        <v>8</v>
      </c>
      <c r="E295" s="39" t="s">
        <v>7</v>
      </c>
      <c r="F295" s="37" t="s">
        <v>8</v>
      </c>
      <c r="G295" s="37" t="s">
        <v>90</v>
      </c>
      <c r="H295" s="37"/>
      <c r="I295" s="37"/>
      <c r="J295" s="39"/>
      <c r="K295" s="6">
        <f t="shared" si="13"/>
        <v>514.4</v>
      </c>
    </row>
    <row r="296" spans="1:11" s="26" customFormat="1" ht="31.2" x14ac:dyDescent="0.25">
      <c r="A296" s="104"/>
      <c r="B296" s="1" t="s">
        <v>91</v>
      </c>
      <c r="C296" s="2">
        <v>902</v>
      </c>
      <c r="D296" s="39" t="s">
        <v>8</v>
      </c>
      <c r="E296" s="39" t="s">
        <v>7</v>
      </c>
      <c r="F296" s="37" t="s">
        <v>8</v>
      </c>
      <c r="G296" s="37" t="s">
        <v>90</v>
      </c>
      <c r="H296" s="37" t="s">
        <v>4</v>
      </c>
      <c r="I296" s="37"/>
      <c r="J296" s="39"/>
      <c r="K296" s="6">
        <f>K297+K299</f>
        <v>514.4</v>
      </c>
    </row>
    <row r="297" spans="1:11" s="26" customFormat="1" x14ac:dyDescent="0.25">
      <c r="A297" s="104"/>
      <c r="B297" s="1" t="s">
        <v>237</v>
      </c>
      <c r="C297" s="2">
        <v>902</v>
      </c>
      <c r="D297" s="39" t="s">
        <v>8</v>
      </c>
      <c r="E297" s="39" t="s">
        <v>7</v>
      </c>
      <c r="F297" s="37" t="s">
        <v>8</v>
      </c>
      <c r="G297" s="37" t="s">
        <v>90</v>
      </c>
      <c r="H297" s="37" t="s">
        <v>4</v>
      </c>
      <c r="I297" s="37" t="s">
        <v>236</v>
      </c>
      <c r="J297" s="39"/>
      <c r="K297" s="6">
        <f t="shared" si="13"/>
        <v>319</v>
      </c>
    </row>
    <row r="298" spans="1:11" s="26" customFormat="1" ht="31.2" x14ac:dyDescent="0.25">
      <c r="A298" s="104"/>
      <c r="B298" s="1" t="s">
        <v>123</v>
      </c>
      <c r="C298" s="2">
        <v>902</v>
      </c>
      <c r="D298" s="39" t="s">
        <v>8</v>
      </c>
      <c r="E298" s="39" t="s">
        <v>7</v>
      </c>
      <c r="F298" s="37" t="s">
        <v>8</v>
      </c>
      <c r="G298" s="37" t="s">
        <v>90</v>
      </c>
      <c r="H298" s="37" t="s">
        <v>4</v>
      </c>
      <c r="I298" s="37" t="s">
        <v>236</v>
      </c>
      <c r="J298" s="39" t="s">
        <v>49</v>
      </c>
      <c r="K298" s="6">
        <f>120+199+(332.9)-332.9</f>
        <v>319</v>
      </c>
    </row>
    <row r="299" spans="1:11" s="26" customFormat="1" x14ac:dyDescent="0.25">
      <c r="A299" s="104"/>
      <c r="B299" s="1" t="s">
        <v>656</v>
      </c>
      <c r="C299" s="76">
        <v>902</v>
      </c>
      <c r="D299" s="75" t="s">
        <v>8</v>
      </c>
      <c r="E299" s="75" t="s">
        <v>7</v>
      </c>
      <c r="F299" s="37" t="s">
        <v>8</v>
      </c>
      <c r="G299" s="37" t="s">
        <v>90</v>
      </c>
      <c r="H299" s="37" t="s">
        <v>4</v>
      </c>
      <c r="I299" s="37" t="s">
        <v>657</v>
      </c>
      <c r="J299" s="75"/>
      <c r="K299" s="6">
        <f>K300</f>
        <v>195.4</v>
      </c>
    </row>
    <row r="300" spans="1:11" s="26" customFormat="1" ht="31.2" x14ac:dyDescent="0.25">
      <c r="A300" s="104"/>
      <c r="B300" s="1" t="s">
        <v>123</v>
      </c>
      <c r="C300" s="76">
        <v>902</v>
      </c>
      <c r="D300" s="75" t="s">
        <v>8</v>
      </c>
      <c r="E300" s="75" t="s">
        <v>7</v>
      </c>
      <c r="F300" s="37" t="s">
        <v>8</v>
      </c>
      <c r="G300" s="37" t="s">
        <v>90</v>
      </c>
      <c r="H300" s="37" t="s">
        <v>4</v>
      </c>
      <c r="I300" s="37" t="s">
        <v>657</v>
      </c>
      <c r="J300" s="75" t="s">
        <v>49</v>
      </c>
      <c r="K300" s="6">
        <v>195.4</v>
      </c>
    </row>
    <row r="301" spans="1:11" s="26" customFormat="1" x14ac:dyDescent="0.25">
      <c r="A301" s="104"/>
      <c r="B301" s="1" t="s">
        <v>71</v>
      </c>
      <c r="C301" s="2">
        <v>902</v>
      </c>
      <c r="D301" s="37" t="s">
        <v>17</v>
      </c>
      <c r="E301" s="37"/>
      <c r="F301" s="37"/>
      <c r="G301" s="37"/>
      <c r="H301" s="37"/>
      <c r="I301" s="37"/>
      <c r="J301" s="37"/>
      <c r="K301" s="6">
        <f>SUM(K302)</f>
        <v>13595.1</v>
      </c>
    </row>
    <row r="302" spans="1:11" s="26" customFormat="1" x14ac:dyDescent="0.25">
      <c r="A302" s="104"/>
      <c r="B302" s="47" t="s">
        <v>45</v>
      </c>
      <c r="C302" s="2">
        <v>902</v>
      </c>
      <c r="D302" s="37" t="s">
        <v>72</v>
      </c>
      <c r="E302" s="37" t="s">
        <v>6</v>
      </c>
      <c r="F302" s="37"/>
      <c r="G302" s="37"/>
      <c r="H302" s="37"/>
      <c r="I302" s="37"/>
      <c r="J302" s="37"/>
      <c r="K302" s="6">
        <f>SUM(K308+K303)</f>
        <v>13595.1</v>
      </c>
    </row>
    <row r="303" spans="1:11" s="26" customFormat="1" ht="31.2" x14ac:dyDescent="0.25">
      <c r="A303" s="104"/>
      <c r="B303" s="1" t="s">
        <v>161</v>
      </c>
      <c r="C303" s="2">
        <v>902</v>
      </c>
      <c r="D303" s="37" t="s">
        <v>72</v>
      </c>
      <c r="E303" s="37" t="s">
        <v>6</v>
      </c>
      <c r="F303" s="37" t="s">
        <v>70</v>
      </c>
      <c r="G303" s="38"/>
      <c r="H303" s="37"/>
      <c r="I303" s="37"/>
      <c r="J303" s="37"/>
      <c r="K303" s="6">
        <f>K304</f>
        <v>0</v>
      </c>
    </row>
    <row r="304" spans="1:11" s="26" customFormat="1" ht="46.8" x14ac:dyDescent="0.25">
      <c r="A304" s="104"/>
      <c r="B304" s="1" t="s">
        <v>336</v>
      </c>
      <c r="C304" s="2">
        <v>902</v>
      </c>
      <c r="D304" s="37" t="s">
        <v>72</v>
      </c>
      <c r="E304" s="37" t="s">
        <v>6</v>
      </c>
      <c r="F304" s="37" t="s">
        <v>70</v>
      </c>
      <c r="G304" s="37" t="s">
        <v>90</v>
      </c>
      <c r="H304" s="37"/>
      <c r="I304" s="37"/>
      <c r="J304" s="37"/>
      <c r="K304" s="6">
        <f>K305</f>
        <v>0</v>
      </c>
    </row>
    <row r="305" spans="1:11" s="26" customFormat="1" ht="46.8" x14ac:dyDescent="0.25">
      <c r="A305" s="104"/>
      <c r="B305" s="1" t="s">
        <v>337</v>
      </c>
      <c r="C305" s="2">
        <v>902</v>
      </c>
      <c r="D305" s="37" t="s">
        <v>72</v>
      </c>
      <c r="E305" s="37" t="s">
        <v>6</v>
      </c>
      <c r="F305" s="37" t="s">
        <v>70</v>
      </c>
      <c r="G305" s="37" t="s">
        <v>90</v>
      </c>
      <c r="H305" s="37" t="s">
        <v>2</v>
      </c>
      <c r="I305" s="37"/>
      <c r="J305" s="37"/>
      <c r="K305" s="6">
        <f>K306</f>
        <v>0</v>
      </c>
    </row>
    <row r="306" spans="1:11" s="26" customFormat="1" ht="78" x14ac:dyDescent="0.25">
      <c r="A306" s="104"/>
      <c r="B306" s="1" t="s">
        <v>338</v>
      </c>
      <c r="C306" s="2">
        <v>902</v>
      </c>
      <c r="D306" s="37" t="s">
        <v>72</v>
      </c>
      <c r="E306" s="37" t="s">
        <v>6</v>
      </c>
      <c r="F306" s="37" t="s">
        <v>70</v>
      </c>
      <c r="G306" s="37" t="s">
        <v>90</v>
      </c>
      <c r="H306" s="37" t="s">
        <v>2</v>
      </c>
      <c r="I306" s="37" t="s">
        <v>284</v>
      </c>
      <c r="J306" s="37"/>
      <c r="K306" s="6">
        <f>K307</f>
        <v>0</v>
      </c>
    </row>
    <row r="307" spans="1:11" s="26" customFormat="1" ht="31.2" x14ac:dyDescent="0.25">
      <c r="A307" s="104"/>
      <c r="B307" s="1" t="s">
        <v>123</v>
      </c>
      <c r="C307" s="2">
        <v>902</v>
      </c>
      <c r="D307" s="37" t="s">
        <v>72</v>
      </c>
      <c r="E307" s="37" t="s">
        <v>6</v>
      </c>
      <c r="F307" s="37" t="s">
        <v>70</v>
      </c>
      <c r="G307" s="37" t="s">
        <v>90</v>
      </c>
      <c r="H307" s="37" t="s">
        <v>2</v>
      </c>
      <c r="I307" s="37" t="s">
        <v>284</v>
      </c>
      <c r="J307" s="37" t="s">
        <v>49</v>
      </c>
      <c r="K307" s="6"/>
    </row>
    <row r="308" spans="1:11" s="26" customFormat="1" x14ac:dyDescent="0.25">
      <c r="A308" s="104"/>
      <c r="B308" s="40" t="s">
        <v>327</v>
      </c>
      <c r="C308" s="2">
        <v>902</v>
      </c>
      <c r="D308" s="37" t="s">
        <v>72</v>
      </c>
      <c r="E308" s="37" t="s">
        <v>6</v>
      </c>
      <c r="F308" s="37" t="s">
        <v>89</v>
      </c>
      <c r="G308" s="37"/>
      <c r="H308" s="37"/>
      <c r="I308" s="37"/>
      <c r="J308" s="37"/>
      <c r="K308" s="6">
        <f t="shared" ref="K308:K311" si="14">SUM(K309)</f>
        <v>13595.1</v>
      </c>
    </row>
    <row r="309" spans="1:11" s="26" customFormat="1" x14ac:dyDescent="0.25">
      <c r="A309" s="104"/>
      <c r="B309" s="40" t="s">
        <v>515</v>
      </c>
      <c r="C309" s="2">
        <v>902</v>
      </c>
      <c r="D309" s="37" t="s">
        <v>72</v>
      </c>
      <c r="E309" s="37" t="s">
        <v>6</v>
      </c>
      <c r="F309" s="37" t="s">
        <v>89</v>
      </c>
      <c r="G309" s="37" t="s">
        <v>95</v>
      </c>
      <c r="H309" s="37"/>
      <c r="I309" s="37"/>
      <c r="J309" s="37"/>
      <c r="K309" s="6">
        <f t="shared" si="14"/>
        <v>13595.1</v>
      </c>
    </row>
    <row r="310" spans="1:11" s="26" customFormat="1" ht="31.2" x14ac:dyDescent="0.25">
      <c r="A310" s="104"/>
      <c r="B310" s="40" t="s">
        <v>96</v>
      </c>
      <c r="C310" s="2">
        <v>902</v>
      </c>
      <c r="D310" s="37" t="s">
        <v>72</v>
      </c>
      <c r="E310" s="37" t="s">
        <v>6</v>
      </c>
      <c r="F310" s="37" t="s">
        <v>89</v>
      </c>
      <c r="G310" s="37" t="s">
        <v>95</v>
      </c>
      <c r="H310" s="37" t="s">
        <v>2</v>
      </c>
      <c r="I310" s="37"/>
      <c r="J310" s="37"/>
      <c r="K310" s="6">
        <f t="shared" si="14"/>
        <v>13595.1</v>
      </c>
    </row>
    <row r="311" spans="1:11" s="26" customFormat="1" ht="31.2" x14ac:dyDescent="0.25">
      <c r="A311" s="104"/>
      <c r="B311" s="40" t="s">
        <v>516</v>
      </c>
      <c r="C311" s="2">
        <v>902</v>
      </c>
      <c r="D311" s="37" t="s">
        <v>72</v>
      </c>
      <c r="E311" s="37" t="s">
        <v>6</v>
      </c>
      <c r="F311" s="37" t="s">
        <v>89</v>
      </c>
      <c r="G311" s="37" t="s">
        <v>95</v>
      </c>
      <c r="H311" s="37" t="s">
        <v>2</v>
      </c>
      <c r="I311" s="37" t="s">
        <v>97</v>
      </c>
      <c r="J311" s="37"/>
      <c r="K311" s="6">
        <f t="shared" si="14"/>
        <v>13595.1</v>
      </c>
    </row>
    <row r="312" spans="1:11" s="26" customFormat="1" ht="31.2" x14ac:dyDescent="0.25">
      <c r="A312" s="104"/>
      <c r="B312" s="1" t="s">
        <v>123</v>
      </c>
      <c r="C312" s="2">
        <v>902</v>
      </c>
      <c r="D312" s="37" t="s">
        <v>72</v>
      </c>
      <c r="E312" s="37" t="s">
        <v>6</v>
      </c>
      <c r="F312" s="37" t="s">
        <v>89</v>
      </c>
      <c r="G312" s="37" t="s">
        <v>95</v>
      </c>
      <c r="H312" s="37" t="s">
        <v>2</v>
      </c>
      <c r="I312" s="37" t="s">
        <v>97</v>
      </c>
      <c r="J312" s="37" t="s">
        <v>49</v>
      </c>
      <c r="K312" s="6">
        <f>8663.7+2427.4+2504</f>
        <v>13595.1</v>
      </c>
    </row>
    <row r="313" spans="1:11" s="26" customFormat="1" x14ac:dyDescent="0.25">
      <c r="A313" s="104"/>
      <c r="B313" s="48" t="s">
        <v>301</v>
      </c>
      <c r="C313" s="2">
        <v>902</v>
      </c>
      <c r="D313" s="37" t="s">
        <v>24</v>
      </c>
      <c r="E313" s="37"/>
      <c r="F313" s="37"/>
      <c r="G313" s="37"/>
      <c r="H313" s="37"/>
      <c r="I313" s="37"/>
      <c r="J313" s="37"/>
      <c r="K313" s="6">
        <f t="shared" ref="K313:K317" si="15">SUM(K314)</f>
        <v>43788.800000000003</v>
      </c>
    </row>
    <row r="314" spans="1:11" s="26" customFormat="1" x14ac:dyDescent="0.25">
      <c r="A314" s="104"/>
      <c r="B314" s="48" t="s">
        <v>302</v>
      </c>
      <c r="C314" s="2">
        <v>902</v>
      </c>
      <c r="D314" s="37" t="s">
        <v>24</v>
      </c>
      <c r="E314" s="37" t="s">
        <v>4</v>
      </c>
      <c r="F314" s="37"/>
      <c r="G314" s="37"/>
      <c r="H314" s="37"/>
      <c r="I314" s="37"/>
      <c r="J314" s="37"/>
      <c r="K314" s="6">
        <f t="shared" si="15"/>
        <v>43788.800000000003</v>
      </c>
    </row>
    <row r="315" spans="1:11" s="26" customFormat="1" x14ac:dyDescent="0.25">
      <c r="A315" s="104"/>
      <c r="B315" s="1" t="s">
        <v>360</v>
      </c>
      <c r="C315" s="2">
        <v>902</v>
      </c>
      <c r="D315" s="37" t="s">
        <v>24</v>
      </c>
      <c r="E315" s="37" t="s">
        <v>4</v>
      </c>
      <c r="F315" s="37" t="s">
        <v>4</v>
      </c>
      <c r="G315" s="38"/>
      <c r="H315" s="37"/>
      <c r="I315" s="37"/>
      <c r="J315" s="37"/>
      <c r="K315" s="6">
        <f t="shared" si="15"/>
        <v>43788.800000000003</v>
      </c>
    </row>
    <row r="316" spans="1:11" s="26" customFormat="1" ht="64.95" customHeight="1" x14ac:dyDescent="0.25">
      <c r="A316" s="104"/>
      <c r="B316" s="1" t="s">
        <v>500</v>
      </c>
      <c r="C316" s="2">
        <v>902</v>
      </c>
      <c r="D316" s="37" t="s">
        <v>24</v>
      </c>
      <c r="E316" s="37" t="s">
        <v>4</v>
      </c>
      <c r="F316" s="37" t="s">
        <v>4</v>
      </c>
      <c r="G316" s="38">
        <v>1</v>
      </c>
      <c r="H316" s="37"/>
      <c r="I316" s="37"/>
      <c r="J316" s="37"/>
      <c r="K316" s="6">
        <f t="shared" si="15"/>
        <v>43788.800000000003</v>
      </c>
    </row>
    <row r="317" spans="1:11" s="26" customFormat="1" ht="31.2" x14ac:dyDescent="0.25">
      <c r="A317" s="104"/>
      <c r="B317" s="40" t="s">
        <v>501</v>
      </c>
      <c r="C317" s="2">
        <v>902</v>
      </c>
      <c r="D317" s="37" t="s">
        <v>24</v>
      </c>
      <c r="E317" s="37" t="s">
        <v>4</v>
      </c>
      <c r="F317" s="37" t="s">
        <v>4</v>
      </c>
      <c r="G317" s="38">
        <v>1</v>
      </c>
      <c r="H317" s="37" t="s">
        <v>2</v>
      </c>
      <c r="I317" s="37"/>
      <c r="J317" s="37"/>
      <c r="K317" s="6">
        <f t="shared" si="15"/>
        <v>43788.800000000003</v>
      </c>
    </row>
    <row r="318" spans="1:11" s="26" customFormat="1" ht="124.8" x14ac:dyDescent="0.25">
      <c r="A318" s="104"/>
      <c r="B318" s="1" t="s">
        <v>300</v>
      </c>
      <c r="C318" s="2">
        <v>902</v>
      </c>
      <c r="D318" s="37" t="s">
        <v>24</v>
      </c>
      <c r="E318" s="37" t="s">
        <v>4</v>
      </c>
      <c r="F318" s="37" t="s">
        <v>4</v>
      </c>
      <c r="G318" s="38">
        <v>1</v>
      </c>
      <c r="H318" s="37" t="s">
        <v>2</v>
      </c>
      <c r="I318" s="37" t="s">
        <v>299</v>
      </c>
      <c r="J318" s="37"/>
      <c r="K318" s="6">
        <f>SUM(K319+K320)</f>
        <v>43788.800000000003</v>
      </c>
    </row>
    <row r="319" spans="1:11" s="26" customFormat="1" ht="31.2" x14ac:dyDescent="0.25">
      <c r="A319" s="104"/>
      <c r="B319" s="1" t="s">
        <v>75</v>
      </c>
      <c r="C319" s="2">
        <v>902</v>
      </c>
      <c r="D319" s="37" t="s">
        <v>24</v>
      </c>
      <c r="E319" s="37" t="s">
        <v>4</v>
      </c>
      <c r="F319" s="37" t="s">
        <v>4</v>
      </c>
      <c r="G319" s="38">
        <v>1</v>
      </c>
      <c r="H319" s="37" t="s">
        <v>2</v>
      </c>
      <c r="I319" s="37" t="s">
        <v>299</v>
      </c>
      <c r="J319" s="37" t="s">
        <v>54</v>
      </c>
      <c r="K319" s="6">
        <f>28250+13000-41250+7500</f>
        <v>7500</v>
      </c>
    </row>
    <row r="320" spans="1:11" s="26" customFormat="1" ht="31.2" x14ac:dyDescent="0.25">
      <c r="A320" s="104"/>
      <c r="B320" s="1" t="s">
        <v>123</v>
      </c>
      <c r="C320" s="2">
        <v>902</v>
      </c>
      <c r="D320" s="37" t="s">
        <v>24</v>
      </c>
      <c r="E320" s="37" t="s">
        <v>4</v>
      </c>
      <c r="F320" s="37" t="s">
        <v>4</v>
      </c>
      <c r="G320" s="38">
        <v>1</v>
      </c>
      <c r="H320" s="37" t="s">
        <v>2</v>
      </c>
      <c r="I320" s="37" t="s">
        <v>299</v>
      </c>
      <c r="J320" s="37" t="s">
        <v>49</v>
      </c>
      <c r="K320" s="6">
        <f>41250+2538.8-7500</f>
        <v>36288.800000000003</v>
      </c>
    </row>
    <row r="321" spans="1:11" s="26" customFormat="1" x14ac:dyDescent="0.25">
      <c r="A321" s="104"/>
      <c r="B321" s="1" t="s">
        <v>20</v>
      </c>
      <c r="C321" s="2">
        <v>902</v>
      </c>
      <c r="D321" s="37">
        <v>10</v>
      </c>
      <c r="E321" s="37"/>
      <c r="F321" s="37"/>
      <c r="G321" s="38"/>
      <c r="H321" s="37"/>
      <c r="I321" s="37"/>
      <c r="J321" s="37"/>
      <c r="K321" s="6">
        <f>SUM(K322+K328+K340+K346)</f>
        <v>138682.20000000001</v>
      </c>
    </row>
    <row r="322" spans="1:11" s="26" customFormat="1" x14ac:dyDescent="0.25">
      <c r="A322" s="104"/>
      <c r="B322" s="47" t="s">
        <v>42</v>
      </c>
      <c r="C322" s="2">
        <v>902</v>
      </c>
      <c r="D322" s="37" t="s">
        <v>21</v>
      </c>
      <c r="E322" s="37" t="s">
        <v>2</v>
      </c>
      <c r="F322" s="37"/>
      <c r="G322" s="38"/>
      <c r="H322" s="37"/>
      <c r="I322" s="37"/>
      <c r="J322" s="37"/>
      <c r="K322" s="6">
        <f t="shared" ref="K322:K324" si="16">SUM(K323)</f>
        <v>17892</v>
      </c>
    </row>
    <row r="323" spans="1:11" s="26" customFormat="1" ht="31.2" x14ac:dyDescent="0.25">
      <c r="A323" s="104"/>
      <c r="B323" s="40" t="s">
        <v>361</v>
      </c>
      <c r="C323" s="2">
        <v>902</v>
      </c>
      <c r="D323" s="37" t="s">
        <v>21</v>
      </c>
      <c r="E323" s="37" t="s">
        <v>2</v>
      </c>
      <c r="F323" s="37" t="s">
        <v>98</v>
      </c>
      <c r="G323" s="38"/>
      <c r="H323" s="37"/>
      <c r="I323" s="37"/>
      <c r="J323" s="37"/>
      <c r="K323" s="6">
        <f t="shared" si="16"/>
        <v>17892</v>
      </c>
    </row>
    <row r="324" spans="1:11" s="26" customFormat="1" ht="31.2" x14ac:dyDescent="0.25">
      <c r="A324" s="104"/>
      <c r="B324" s="40" t="s">
        <v>362</v>
      </c>
      <c r="C324" s="2">
        <v>902</v>
      </c>
      <c r="D324" s="37" t="s">
        <v>21</v>
      </c>
      <c r="E324" s="37" t="s">
        <v>2</v>
      </c>
      <c r="F324" s="37" t="s">
        <v>98</v>
      </c>
      <c r="G324" s="38">
        <v>1</v>
      </c>
      <c r="H324" s="37"/>
      <c r="I324" s="37"/>
      <c r="J324" s="37"/>
      <c r="K324" s="6">
        <f t="shared" si="16"/>
        <v>17892</v>
      </c>
    </row>
    <row r="325" spans="1:11" s="26" customFormat="1" ht="31.2" x14ac:dyDescent="0.25">
      <c r="A325" s="104"/>
      <c r="B325" s="44" t="s">
        <v>183</v>
      </c>
      <c r="C325" s="2">
        <v>902</v>
      </c>
      <c r="D325" s="37" t="s">
        <v>21</v>
      </c>
      <c r="E325" s="37" t="s">
        <v>2</v>
      </c>
      <c r="F325" s="37" t="s">
        <v>98</v>
      </c>
      <c r="G325" s="38">
        <v>1</v>
      </c>
      <c r="H325" s="37" t="s">
        <v>2</v>
      </c>
      <c r="I325" s="37"/>
      <c r="J325" s="37"/>
      <c r="K325" s="6">
        <f>SUM(K327)</f>
        <v>17892</v>
      </c>
    </row>
    <row r="326" spans="1:11" s="26" customFormat="1" ht="31.2" x14ac:dyDescent="0.25">
      <c r="A326" s="104"/>
      <c r="B326" s="44" t="s">
        <v>363</v>
      </c>
      <c r="C326" s="2">
        <v>902</v>
      </c>
      <c r="D326" s="37" t="s">
        <v>21</v>
      </c>
      <c r="E326" s="37" t="s">
        <v>2</v>
      </c>
      <c r="F326" s="37" t="s">
        <v>98</v>
      </c>
      <c r="G326" s="38">
        <v>1</v>
      </c>
      <c r="H326" s="37" t="s">
        <v>2</v>
      </c>
      <c r="I326" s="37" t="s">
        <v>99</v>
      </c>
      <c r="J326" s="37"/>
      <c r="K326" s="6">
        <f>SUM(K327)</f>
        <v>17892</v>
      </c>
    </row>
    <row r="327" spans="1:11" s="26" customFormat="1" x14ac:dyDescent="0.25">
      <c r="A327" s="104"/>
      <c r="B327" s="3" t="s">
        <v>55</v>
      </c>
      <c r="C327" s="2">
        <v>902</v>
      </c>
      <c r="D327" s="37" t="s">
        <v>21</v>
      </c>
      <c r="E327" s="37" t="s">
        <v>2</v>
      </c>
      <c r="F327" s="37" t="s">
        <v>98</v>
      </c>
      <c r="G327" s="38">
        <v>1</v>
      </c>
      <c r="H327" s="37" t="s">
        <v>2</v>
      </c>
      <c r="I327" s="37" t="s">
        <v>99</v>
      </c>
      <c r="J327" s="37" t="s">
        <v>56</v>
      </c>
      <c r="K327" s="6">
        <f>18771.9-148-732+0.1</f>
        <v>17892</v>
      </c>
    </row>
    <row r="328" spans="1:11" s="26" customFormat="1" x14ac:dyDescent="0.25">
      <c r="A328" s="104"/>
      <c r="B328" s="3" t="s">
        <v>28</v>
      </c>
      <c r="C328" s="2">
        <v>902</v>
      </c>
      <c r="D328" s="37" t="s">
        <v>21</v>
      </c>
      <c r="E328" s="37" t="s">
        <v>5</v>
      </c>
      <c r="F328" s="37"/>
      <c r="G328" s="38"/>
      <c r="H328" s="37"/>
      <c r="I328" s="37"/>
      <c r="J328" s="37"/>
      <c r="K328" s="6">
        <f>K329+K337</f>
        <v>80775.600000000006</v>
      </c>
    </row>
    <row r="329" spans="1:11" s="26" customFormat="1" ht="31.2" x14ac:dyDescent="0.25">
      <c r="A329" s="104"/>
      <c r="B329" s="40" t="s">
        <v>361</v>
      </c>
      <c r="C329" s="2">
        <v>902</v>
      </c>
      <c r="D329" s="37" t="s">
        <v>21</v>
      </c>
      <c r="E329" s="37" t="s">
        <v>5</v>
      </c>
      <c r="F329" s="37" t="s">
        <v>98</v>
      </c>
      <c r="G329" s="37"/>
      <c r="H329" s="37"/>
      <c r="I329" s="37"/>
      <c r="J329" s="39"/>
      <c r="K329" s="6">
        <f>SUM(K330)</f>
        <v>51342</v>
      </c>
    </row>
    <row r="330" spans="1:11" s="26" customFormat="1" ht="31.2" x14ac:dyDescent="0.25">
      <c r="A330" s="104"/>
      <c r="B330" s="40" t="s">
        <v>362</v>
      </c>
      <c r="C330" s="2">
        <v>902</v>
      </c>
      <c r="D330" s="37" t="s">
        <v>21</v>
      </c>
      <c r="E330" s="37" t="s">
        <v>5</v>
      </c>
      <c r="F330" s="37" t="s">
        <v>98</v>
      </c>
      <c r="G330" s="37" t="s">
        <v>90</v>
      </c>
      <c r="H330" s="37"/>
      <c r="I330" s="37"/>
      <c r="J330" s="37"/>
      <c r="K330" s="6">
        <f>K331+K334</f>
        <v>51342</v>
      </c>
    </row>
    <row r="331" spans="1:11" s="26" customFormat="1" ht="31.2" x14ac:dyDescent="0.25">
      <c r="A331" s="104"/>
      <c r="B331" s="1" t="s">
        <v>183</v>
      </c>
      <c r="C331" s="2">
        <v>902</v>
      </c>
      <c r="D331" s="37" t="s">
        <v>21</v>
      </c>
      <c r="E331" s="37" t="s">
        <v>5</v>
      </c>
      <c r="F331" s="37" t="s">
        <v>98</v>
      </c>
      <c r="G331" s="37" t="s">
        <v>90</v>
      </c>
      <c r="H331" s="37" t="s">
        <v>2</v>
      </c>
      <c r="I331" s="37"/>
      <c r="J331" s="37"/>
      <c r="K331" s="6">
        <f>SUM(K332)</f>
        <v>4342</v>
      </c>
    </row>
    <row r="332" spans="1:11" s="26" customFormat="1" ht="31.2" x14ac:dyDescent="0.25">
      <c r="A332" s="104"/>
      <c r="B332" s="40" t="s">
        <v>363</v>
      </c>
      <c r="C332" s="2">
        <v>902</v>
      </c>
      <c r="D332" s="37" t="s">
        <v>21</v>
      </c>
      <c r="E332" s="37" t="s">
        <v>5</v>
      </c>
      <c r="F332" s="37" t="s">
        <v>98</v>
      </c>
      <c r="G332" s="37" t="s">
        <v>90</v>
      </c>
      <c r="H332" s="37" t="s">
        <v>2</v>
      </c>
      <c r="I332" s="37" t="s">
        <v>99</v>
      </c>
      <c r="J332" s="37"/>
      <c r="K332" s="6">
        <f>SUM(K333)</f>
        <v>4342</v>
      </c>
    </row>
    <row r="333" spans="1:11" s="26" customFormat="1" x14ac:dyDescent="0.25">
      <c r="A333" s="104"/>
      <c r="B333" s="1" t="s">
        <v>55</v>
      </c>
      <c r="C333" s="2">
        <v>902</v>
      </c>
      <c r="D333" s="37" t="s">
        <v>21</v>
      </c>
      <c r="E333" s="37" t="s">
        <v>5</v>
      </c>
      <c r="F333" s="37" t="s">
        <v>98</v>
      </c>
      <c r="G333" s="37" t="s">
        <v>90</v>
      </c>
      <c r="H333" s="37" t="s">
        <v>2</v>
      </c>
      <c r="I333" s="37" t="s">
        <v>99</v>
      </c>
      <c r="J333" s="37" t="s">
        <v>56</v>
      </c>
      <c r="K333" s="6">
        <f>18435-2040-14920+148+732+1327+660</f>
        <v>4342</v>
      </c>
    </row>
    <row r="334" spans="1:11" s="26" customFormat="1" ht="82.2" customHeight="1" x14ac:dyDescent="0.25">
      <c r="A334" s="104"/>
      <c r="B334" s="1" t="s">
        <v>364</v>
      </c>
      <c r="C334" s="2">
        <v>902</v>
      </c>
      <c r="D334" s="37" t="s">
        <v>21</v>
      </c>
      <c r="E334" s="37" t="s">
        <v>5</v>
      </c>
      <c r="F334" s="37" t="s">
        <v>98</v>
      </c>
      <c r="G334" s="37" t="s">
        <v>90</v>
      </c>
      <c r="H334" s="37" t="s">
        <v>4</v>
      </c>
      <c r="I334" s="37"/>
      <c r="J334" s="37"/>
      <c r="K334" s="6">
        <f>K335</f>
        <v>47000</v>
      </c>
    </row>
    <row r="335" spans="1:11" s="26" customFormat="1" ht="78" x14ac:dyDescent="0.25">
      <c r="A335" s="104"/>
      <c r="B335" s="1" t="s">
        <v>365</v>
      </c>
      <c r="C335" s="2">
        <v>902</v>
      </c>
      <c r="D335" s="37" t="s">
        <v>21</v>
      </c>
      <c r="E335" s="37" t="s">
        <v>5</v>
      </c>
      <c r="F335" s="37" t="s">
        <v>98</v>
      </c>
      <c r="G335" s="37" t="s">
        <v>90</v>
      </c>
      <c r="H335" s="37" t="s">
        <v>4</v>
      </c>
      <c r="I335" s="37" t="s">
        <v>320</v>
      </c>
      <c r="J335" s="37"/>
      <c r="K335" s="6">
        <f>K336</f>
        <v>47000</v>
      </c>
    </row>
    <row r="336" spans="1:11" s="26" customFormat="1" x14ac:dyDescent="0.25">
      <c r="A336" s="104"/>
      <c r="B336" s="1" t="s">
        <v>55</v>
      </c>
      <c r="C336" s="2">
        <v>902</v>
      </c>
      <c r="D336" s="37" t="s">
        <v>21</v>
      </c>
      <c r="E336" s="37" t="s">
        <v>5</v>
      </c>
      <c r="F336" s="37" t="s">
        <v>98</v>
      </c>
      <c r="G336" s="37" t="s">
        <v>90</v>
      </c>
      <c r="H336" s="37" t="s">
        <v>4</v>
      </c>
      <c r="I336" s="37" t="s">
        <v>320</v>
      </c>
      <c r="J336" s="37" t="s">
        <v>56</v>
      </c>
      <c r="K336" s="6">
        <f>3000+3400+800+400+4200+200+4600+200+600+3800+3600+(11500)+(10700)</f>
        <v>47000</v>
      </c>
    </row>
    <row r="337" spans="1:11" s="26" customFormat="1" x14ac:dyDescent="0.25">
      <c r="A337" s="104"/>
      <c r="B337" s="1" t="s">
        <v>53</v>
      </c>
      <c r="C337" s="2">
        <v>902</v>
      </c>
      <c r="D337" s="37" t="s">
        <v>21</v>
      </c>
      <c r="E337" s="37" t="s">
        <v>5</v>
      </c>
      <c r="F337" s="37" t="s">
        <v>456</v>
      </c>
      <c r="G337" s="37"/>
      <c r="H337" s="37"/>
      <c r="I337" s="37"/>
      <c r="J337" s="37"/>
      <c r="K337" s="6">
        <f>K338</f>
        <v>29433.599999999999</v>
      </c>
    </row>
    <row r="338" spans="1:11" s="26" customFormat="1" x14ac:dyDescent="0.25">
      <c r="A338" s="104"/>
      <c r="B338" s="1" t="s">
        <v>598</v>
      </c>
      <c r="C338" s="2">
        <v>902</v>
      </c>
      <c r="D338" s="37" t="s">
        <v>21</v>
      </c>
      <c r="E338" s="37" t="s">
        <v>5</v>
      </c>
      <c r="F338" s="37" t="s">
        <v>456</v>
      </c>
      <c r="G338" s="37" t="s">
        <v>599</v>
      </c>
      <c r="H338" s="37" t="s">
        <v>77</v>
      </c>
      <c r="I338" s="37" t="s">
        <v>616</v>
      </c>
      <c r="J338" s="37"/>
      <c r="K338" s="6">
        <f>K339</f>
        <v>29433.599999999999</v>
      </c>
    </row>
    <row r="339" spans="1:11" s="26" customFormat="1" x14ac:dyDescent="0.25">
      <c r="A339" s="104"/>
      <c r="B339" s="1" t="s">
        <v>55</v>
      </c>
      <c r="C339" s="2">
        <v>902</v>
      </c>
      <c r="D339" s="37" t="s">
        <v>21</v>
      </c>
      <c r="E339" s="37" t="s">
        <v>5</v>
      </c>
      <c r="F339" s="37" t="s">
        <v>456</v>
      </c>
      <c r="G339" s="37" t="s">
        <v>599</v>
      </c>
      <c r="H339" s="37" t="s">
        <v>77</v>
      </c>
      <c r="I339" s="37" t="s">
        <v>616</v>
      </c>
      <c r="J339" s="37" t="s">
        <v>56</v>
      </c>
      <c r="K339" s="6">
        <f>19125-17640+27948.6</f>
        <v>29433.599999999999</v>
      </c>
    </row>
    <row r="340" spans="1:11" s="26" customFormat="1" x14ac:dyDescent="0.25">
      <c r="A340" s="104"/>
      <c r="B340" s="3" t="s">
        <v>29</v>
      </c>
      <c r="C340" s="2">
        <v>902</v>
      </c>
      <c r="D340" s="37" t="s">
        <v>21</v>
      </c>
      <c r="E340" s="37" t="s">
        <v>6</v>
      </c>
      <c r="F340" s="37"/>
      <c r="G340" s="38"/>
      <c r="H340" s="37"/>
      <c r="I340" s="37"/>
      <c r="J340" s="37"/>
      <c r="K340" s="6">
        <f>K341</f>
        <v>33597</v>
      </c>
    </row>
    <row r="341" spans="1:11" s="26" customFormat="1" x14ac:dyDescent="0.25">
      <c r="A341" s="104"/>
      <c r="B341" s="40" t="s">
        <v>327</v>
      </c>
      <c r="C341" s="2">
        <v>902</v>
      </c>
      <c r="D341" s="37" t="s">
        <v>21</v>
      </c>
      <c r="E341" s="37" t="s">
        <v>6</v>
      </c>
      <c r="F341" s="37" t="s">
        <v>89</v>
      </c>
      <c r="G341" s="38"/>
      <c r="H341" s="37"/>
      <c r="I341" s="37"/>
      <c r="J341" s="37"/>
      <c r="K341" s="6">
        <f t="shared" ref="K341" si="17">K342</f>
        <v>33597</v>
      </c>
    </row>
    <row r="342" spans="1:11" s="26" customFormat="1" x14ac:dyDescent="0.25">
      <c r="A342" s="104"/>
      <c r="B342" s="40" t="s">
        <v>162</v>
      </c>
      <c r="C342" s="2">
        <v>902</v>
      </c>
      <c r="D342" s="37" t="s">
        <v>21</v>
      </c>
      <c r="E342" s="37" t="s">
        <v>6</v>
      </c>
      <c r="F342" s="37" t="s">
        <v>89</v>
      </c>
      <c r="G342" s="38">
        <v>2</v>
      </c>
      <c r="H342" s="37"/>
      <c r="I342" s="37"/>
      <c r="J342" s="37"/>
      <c r="K342" s="6">
        <f t="shared" ref="K342:K344" si="18">SUM(K343)</f>
        <v>33597</v>
      </c>
    </row>
    <row r="343" spans="1:11" s="26" customFormat="1" ht="31.2" x14ac:dyDescent="0.25">
      <c r="A343" s="104"/>
      <c r="B343" s="40" t="s">
        <v>94</v>
      </c>
      <c r="C343" s="2">
        <v>902</v>
      </c>
      <c r="D343" s="37" t="s">
        <v>21</v>
      </c>
      <c r="E343" s="37" t="s">
        <v>6</v>
      </c>
      <c r="F343" s="37" t="s">
        <v>89</v>
      </c>
      <c r="G343" s="38">
        <v>2</v>
      </c>
      <c r="H343" s="37" t="s">
        <v>2</v>
      </c>
      <c r="I343" s="37"/>
      <c r="J343" s="37"/>
      <c r="K343" s="6">
        <f t="shared" si="18"/>
        <v>33597</v>
      </c>
    </row>
    <row r="344" spans="1:11" s="26" customFormat="1" x14ac:dyDescent="0.25">
      <c r="A344" s="104"/>
      <c r="B344" s="40" t="s">
        <v>181</v>
      </c>
      <c r="C344" s="2">
        <v>902</v>
      </c>
      <c r="D344" s="37" t="s">
        <v>21</v>
      </c>
      <c r="E344" s="37" t="s">
        <v>6</v>
      </c>
      <c r="F344" s="37" t="s">
        <v>89</v>
      </c>
      <c r="G344" s="38">
        <v>2</v>
      </c>
      <c r="H344" s="37" t="s">
        <v>2</v>
      </c>
      <c r="I344" s="37" t="s">
        <v>182</v>
      </c>
      <c r="J344" s="37"/>
      <c r="K344" s="6">
        <f t="shared" si="18"/>
        <v>33597</v>
      </c>
    </row>
    <row r="345" spans="1:11" s="26" customFormat="1" x14ac:dyDescent="0.25">
      <c r="A345" s="104"/>
      <c r="B345" s="3" t="s">
        <v>55</v>
      </c>
      <c r="C345" s="2">
        <v>902</v>
      </c>
      <c r="D345" s="37" t="s">
        <v>21</v>
      </c>
      <c r="E345" s="37" t="s">
        <v>6</v>
      </c>
      <c r="F345" s="37" t="s">
        <v>89</v>
      </c>
      <c r="G345" s="38">
        <v>2</v>
      </c>
      <c r="H345" s="37" t="s">
        <v>2</v>
      </c>
      <c r="I345" s="37" t="s">
        <v>182</v>
      </c>
      <c r="J345" s="37" t="s">
        <v>56</v>
      </c>
      <c r="K345" s="6">
        <f>18142.5+15454.7-0.1-0.1</f>
        <v>33597</v>
      </c>
    </row>
    <row r="346" spans="1:11" s="26" customFormat="1" x14ac:dyDescent="0.25">
      <c r="A346" s="104"/>
      <c r="B346" s="1" t="s">
        <v>62</v>
      </c>
      <c r="C346" s="2">
        <v>902</v>
      </c>
      <c r="D346" s="37" t="s">
        <v>21</v>
      </c>
      <c r="E346" s="37" t="s">
        <v>30</v>
      </c>
      <c r="F346" s="37"/>
      <c r="G346" s="38"/>
      <c r="H346" s="37"/>
      <c r="I346" s="37"/>
      <c r="J346" s="37"/>
      <c r="K346" s="6">
        <f>SUM(K347+K352)</f>
        <v>6417.5999999999995</v>
      </c>
    </row>
    <row r="347" spans="1:11" s="26" customFormat="1" ht="31.2" x14ac:dyDescent="0.25">
      <c r="A347" s="104"/>
      <c r="B347" s="40" t="s">
        <v>361</v>
      </c>
      <c r="C347" s="2">
        <v>902</v>
      </c>
      <c r="D347" s="37" t="s">
        <v>21</v>
      </c>
      <c r="E347" s="37" t="s">
        <v>30</v>
      </c>
      <c r="F347" s="37" t="s">
        <v>98</v>
      </c>
      <c r="G347" s="37"/>
      <c r="H347" s="37"/>
      <c r="I347" s="37"/>
      <c r="J347" s="37"/>
      <c r="K347" s="6">
        <f>K348</f>
        <v>1380</v>
      </c>
    </row>
    <row r="348" spans="1:11" s="26" customFormat="1" ht="31.2" x14ac:dyDescent="0.25">
      <c r="A348" s="104"/>
      <c r="B348" s="40" t="s">
        <v>362</v>
      </c>
      <c r="C348" s="2">
        <v>902</v>
      </c>
      <c r="D348" s="37" t="s">
        <v>21</v>
      </c>
      <c r="E348" s="37" t="s">
        <v>30</v>
      </c>
      <c r="F348" s="37" t="s">
        <v>98</v>
      </c>
      <c r="G348" s="37" t="s">
        <v>90</v>
      </c>
      <c r="H348" s="37"/>
      <c r="I348" s="37"/>
      <c r="J348" s="37"/>
      <c r="K348" s="6">
        <f>K349</f>
        <v>1380</v>
      </c>
    </row>
    <row r="349" spans="1:11" s="26" customFormat="1" ht="31.2" x14ac:dyDescent="0.25">
      <c r="A349" s="104"/>
      <c r="B349" s="1" t="s">
        <v>318</v>
      </c>
      <c r="C349" s="2">
        <v>902</v>
      </c>
      <c r="D349" s="37" t="s">
        <v>21</v>
      </c>
      <c r="E349" s="37" t="s">
        <v>30</v>
      </c>
      <c r="F349" s="37" t="s">
        <v>98</v>
      </c>
      <c r="G349" s="37" t="s">
        <v>90</v>
      </c>
      <c r="H349" s="37" t="s">
        <v>5</v>
      </c>
      <c r="I349" s="37"/>
      <c r="J349" s="37"/>
      <c r="K349" s="6">
        <f>K350</f>
        <v>1380</v>
      </c>
    </row>
    <row r="350" spans="1:11" s="26" customFormat="1" ht="62.4" x14ac:dyDescent="0.25">
      <c r="A350" s="104"/>
      <c r="B350" s="1" t="s">
        <v>366</v>
      </c>
      <c r="C350" s="2">
        <v>902</v>
      </c>
      <c r="D350" s="37" t="s">
        <v>21</v>
      </c>
      <c r="E350" s="37" t="s">
        <v>30</v>
      </c>
      <c r="F350" s="37" t="s">
        <v>98</v>
      </c>
      <c r="G350" s="37" t="s">
        <v>90</v>
      </c>
      <c r="H350" s="37" t="s">
        <v>5</v>
      </c>
      <c r="I350" s="37" t="s">
        <v>319</v>
      </c>
      <c r="J350" s="37"/>
      <c r="K350" s="6">
        <f>K351</f>
        <v>1380</v>
      </c>
    </row>
    <row r="351" spans="1:11" s="26" customFormat="1" x14ac:dyDescent="0.25">
      <c r="A351" s="104"/>
      <c r="B351" s="3" t="s">
        <v>55</v>
      </c>
      <c r="C351" s="2">
        <v>902</v>
      </c>
      <c r="D351" s="37" t="s">
        <v>21</v>
      </c>
      <c r="E351" s="37" t="s">
        <v>30</v>
      </c>
      <c r="F351" s="37" t="s">
        <v>98</v>
      </c>
      <c r="G351" s="37" t="s">
        <v>90</v>
      </c>
      <c r="H351" s="37" t="s">
        <v>5</v>
      </c>
      <c r="I351" s="37" t="s">
        <v>319</v>
      </c>
      <c r="J351" s="37" t="s">
        <v>56</v>
      </c>
      <c r="K351" s="6">
        <f>2040-660</f>
        <v>1380</v>
      </c>
    </row>
    <row r="352" spans="1:11" x14ac:dyDescent="0.25">
      <c r="A352" s="104"/>
      <c r="B352" s="1" t="s">
        <v>67</v>
      </c>
      <c r="C352" s="2">
        <v>902</v>
      </c>
      <c r="D352" s="37" t="s">
        <v>21</v>
      </c>
      <c r="E352" s="37" t="s">
        <v>30</v>
      </c>
      <c r="F352" s="37">
        <v>52</v>
      </c>
      <c r="G352" s="38"/>
      <c r="H352" s="37"/>
      <c r="I352" s="37"/>
      <c r="J352" s="37"/>
      <c r="K352" s="6">
        <f>SUM(K353)</f>
        <v>5037.5999999999995</v>
      </c>
    </row>
    <row r="353" spans="1:11" x14ac:dyDescent="0.25">
      <c r="A353" s="104"/>
      <c r="B353" s="1" t="s">
        <v>52</v>
      </c>
      <c r="C353" s="2">
        <v>902</v>
      </c>
      <c r="D353" s="37" t="s">
        <v>21</v>
      </c>
      <c r="E353" s="37" t="s">
        <v>30</v>
      </c>
      <c r="F353" s="37" t="s">
        <v>81</v>
      </c>
      <c r="G353" s="38">
        <v>2</v>
      </c>
      <c r="H353" s="37"/>
      <c r="I353" s="37"/>
      <c r="J353" s="37"/>
      <c r="K353" s="6">
        <f>SUM(K354)</f>
        <v>5037.5999999999995</v>
      </c>
    </row>
    <row r="354" spans="1:11" s="26" customFormat="1" ht="46.8" x14ac:dyDescent="0.25">
      <c r="A354" s="104"/>
      <c r="B354" s="1" t="s">
        <v>413</v>
      </c>
      <c r="C354" s="2">
        <v>902</v>
      </c>
      <c r="D354" s="37" t="s">
        <v>21</v>
      </c>
      <c r="E354" s="37" t="s">
        <v>30</v>
      </c>
      <c r="F354" s="37" t="s">
        <v>81</v>
      </c>
      <c r="G354" s="38">
        <v>2</v>
      </c>
      <c r="H354" s="37" t="s">
        <v>77</v>
      </c>
      <c r="I354" s="37" t="s">
        <v>246</v>
      </c>
      <c r="J354" s="37"/>
      <c r="K354" s="6">
        <f>SUM(K355:K357)</f>
        <v>5037.5999999999995</v>
      </c>
    </row>
    <row r="355" spans="1:11" s="26" customFormat="1" ht="47.25" customHeight="1" x14ac:dyDescent="0.25">
      <c r="A355" s="104"/>
      <c r="B355" s="1" t="s">
        <v>122</v>
      </c>
      <c r="C355" s="2">
        <v>902</v>
      </c>
      <c r="D355" s="37" t="s">
        <v>21</v>
      </c>
      <c r="E355" s="37" t="s">
        <v>30</v>
      </c>
      <c r="F355" s="37" t="s">
        <v>81</v>
      </c>
      <c r="G355" s="38">
        <v>2</v>
      </c>
      <c r="H355" s="37" t="s">
        <v>77</v>
      </c>
      <c r="I355" s="37" t="s">
        <v>246</v>
      </c>
      <c r="J355" s="37" t="s">
        <v>48</v>
      </c>
      <c r="K355" s="6">
        <f>4758.4+33-57.6-3.4</f>
        <v>4730.3999999999996</v>
      </c>
    </row>
    <row r="356" spans="1:11" s="26" customFormat="1" ht="31.2" x14ac:dyDescent="0.25">
      <c r="A356" s="105"/>
      <c r="B356" s="1" t="s">
        <v>123</v>
      </c>
      <c r="C356" s="2">
        <v>902</v>
      </c>
      <c r="D356" s="37" t="s">
        <v>21</v>
      </c>
      <c r="E356" s="37" t="s">
        <v>30</v>
      </c>
      <c r="F356" s="37" t="s">
        <v>81</v>
      </c>
      <c r="G356" s="38">
        <v>2</v>
      </c>
      <c r="H356" s="37" t="s">
        <v>77</v>
      </c>
      <c r="I356" s="37" t="s">
        <v>246</v>
      </c>
      <c r="J356" s="37" t="s">
        <v>49</v>
      </c>
      <c r="K356" s="6">
        <f>336.8-33</f>
        <v>303.8</v>
      </c>
    </row>
    <row r="357" spans="1:11" s="26" customFormat="1" x14ac:dyDescent="0.25">
      <c r="A357" s="88"/>
      <c r="B357" s="3" t="s">
        <v>55</v>
      </c>
      <c r="C357" s="89">
        <v>902</v>
      </c>
      <c r="D357" s="37" t="s">
        <v>21</v>
      </c>
      <c r="E357" s="37" t="s">
        <v>30</v>
      </c>
      <c r="F357" s="37" t="s">
        <v>81</v>
      </c>
      <c r="G357" s="87">
        <v>2</v>
      </c>
      <c r="H357" s="37" t="s">
        <v>77</v>
      </c>
      <c r="I357" s="37" t="s">
        <v>246</v>
      </c>
      <c r="J357" s="37" t="s">
        <v>56</v>
      </c>
      <c r="K357" s="6">
        <v>3.4</v>
      </c>
    </row>
    <row r="358" spans="1:11" s="26" customFormat="1" ht="31.2" x14ac:dyDescent="0.25">
      <c r="A358" s="106">
        <v>3</v>
      </c>
      <c r="B358" s="1" t="s">
        <v>367</v>
      </c>
      <c r="C358" s="38">
        <v>905</v>
      </c>
      <c r="D358" s="37"/>
      <c r="E358" s="37"/>
      <c r="F358" s="37"/>
      <c r="G358" s="38"/>
      <c r="H358" s="37"/>
      <c r="I358" s="37"/>
      <c r="J358" s="37"/>
      <c r="K358" s="6">
        <f>SUM(K359+K380+K395+K387)</f>
        <v>61852.1</v>
      </c>
    </row>
    <row r="359" spans="1:11" s="26" customFormat="1" x14ac:dyDescent="0.25">
      <c r="A359" s="107"/>
      <c r="B359" s="1" t="s">
        <v>1</v>
      </c>
      <c r="C359" s="38">
        <v>905</v>
      </c>
      <c r="D359" s="37" t="s">
        <v>2</v>
      </c>
      <c r="E359" s="37"/>
      <c r="F359" s="37"/>
      <c r="G359" s="38"/>
      <c r="H359" s="37"/>
      <c r="I359" s="37"/>
      <c r="J359" s="37"/>
      <c r="K359" s="6">
        <f>SUM(K360+K368+K372)</f>
        <v>55107.7</v>
      </c>
    </row>
    <row r="360" spans="1:11" s="26" customFormat="1" ht="31.2" x14ac:dyDescent="0.25">
      <c r="A360" s="107"/>
      <c r="B360" s="1" t="s">
        <v>43</v>
      </c>
      <c r="C360" s="38">
        <v>905</v>
      </c>
      <c r="D360" s="37" t="s">
        <v>2</v>
      </c>
      <c r="E360" s="37" t="s">
        <v>30</v>
      </c>
      <c r="F360" s="37"/>
      <c r="G360" s="38"/>
      <c r="H360" s="37"/>
      <c r="I360" s="37"/>
      <c r="J360" s="37"/>
      <c r="K360" s="6">
        <f t="shared" ref="K360:K361" si="19">SUM(K361)</f>
        <v>48819.899999999994</v>
      </c>
    </row>
    <row r="361" spans="1:11" s="26" customFormat="1" ht="46.8" x14ac:dyDescent="0.25">
      <c r="A361" s="107"/>
      <c r="B361" s="1" t="s">
        <v>368</v>
      </c>
      <c r="C361" s="38">
        <v>905</v>
      </c>
      <c r="D361" s="37" t="s">
        <v>2</v>
      </c>
      <c r="E361" s="37" t="s">
        <v>30</v>
      </c>
      <c r="F361" s="37" t="s">
        <v>102</v>
      </c>
      <c r="G361" s="38"/>
      <c r="H361" s="37"/>
      <c r="I361" s="37"/>
      <c r="J361" s="37"/>
      <c r="K361" s="6">
        <f t="shared" si="19"/>
        <v>48819.899999999994</v>
      </c>
    </row>
    <row r="362" spans="1:11" s="26" customFormat="1" ht="46.8" x14ac:dyDescent="0.25">
      <c r="A362" s="107"/>
      <c r="B362" s="1" t="s">
        <v>369</v>
      </c>
      <c r="C362" s="38">
        <v>905</v>
      </c>
      <c r="D362" s="37" t="s">
        <v>2</v>
      </c>
      <c r="E362" s="37" t="s">
        <v>30</v>
      </c>
      <c r="F362" s="37" t="s">
        <v>102</v>
      </c>
      <c r="G362" s="38">
        <v>1</v>
      </c>
      <c r="H362" s="37"/>
      <c r="I362" s="37"/>
      <c r="J362" s="37"/>
      <c r="K362" s="6">
        <f>SUM(K363)</f>
        <v>48819.899999999994</v>
      </c>
    </row>
    <row r="363" spans="1:11" s="26" customFormat="1" x14ac:dyDescent="0.25">
      <c r="A363" s="107"/>
      <c r="B363" s="1" t="s">
        <v>47</v>
      </c>
      <c r="C363" s="38">
        <v>905</v>
      </c>
      <c r="D363" s="37" t="s">
        <v>2</v>
      </c>
      <c r="E363" s="37" t="s">
        <v>30</v>
      </c>
      <c r="F363" s="37" t="s">
        <v>102</v>
      </c>
      <c r="G363" s="38">
        <v>1</v>
      </c>
      <c r="H363" s="37" t="s">
        <v>77</v>
      </c>
      <c r="I363" s="37" t="s">
        <v>78</v>
      </c>
      <c r="J363" s="37"/>
      <c r="K363" s="6">
        <f>SUM(K364:K367)</f>
        <v>48819.899999999994</v>
      </c>
    </row>
    <row r="364" spans="1:11" s="26" customFormat="1" ht="52.5" customHeight="1" x14ac:dyDescent="0.25">
      <c r="A364" s="107"/>
      <c r="B364" s="1" t="s">
        <v>122</v>
      </c>
      <c r="C364" s="38">
        <v>905</v>
      </c>
      <c r="D364" s="37" t="s">
        <v>2</v>
      </c>
      <c r="E364" s="37" t="s">
        <v>30</v>
      </c>
      <c r="F364" s="37" t="s">
        <v>102</v>
      </c>
      <c r="G364" s="38">
        <v>1</v>
      </c>
      <c r="H364" s="37" t="s">
        <v>77</v>
      </c>
      <c r="I364" s="37" t="s">
        <v>78</v>
      </c>
      <c r="J364" s="37" t="s">
        <v>48</v>
      </c>
      <c r="K364" s="6">
        <v>48181.7</v>
      </c>
    </row>
    <row r="365" spans="1:11" s="26" customFormat="1" ht="31.2" x14ac:dyDescent="0.25">
      <c r="A365" s="107"/>
      <c r="B365" s="1" t="s">
        <v>123</v>
      </c>
      <c r="C365" s="38">
        <v>905</v>
      </c>
      <c r="D365" s="37" t="s">
        <v>2</v>
      </c>
      <c r="E365" s="37" t="s">
        <v>30</v>
      </c>
      <c r="F365" s="37" t="s">
        <v>102</v>
      </c>
      <c r="G365" s="38">
        <v>1</v>
      </c>
      <c r="H365" s="37" t="s">
        <v>77</v>
      </c>
      <c r="I365" s="37" t="s">
        <v>78</v>
      </c>
      <c r="J365" s="37" t="s">
        <v>49</v>
      </c>
      <c r="K365" s="6">
        <v>634.20000000000005</v>
      </c>
    </row>
    <row r="366" spans="1:11" s="26" customFormat="1" x14ac:dyDescent="0.25">
      <c r="A366" s="107"/>
      <c r="B366" s="1" t="s">
        <v>55</v>
      </c>
      <c r="C366" s="38">
        <v>905</v>
      </c>
      <c r="D366" s="37" t="s">
        <v>2</v>
      </c>
      <c r="E366" s="37" t="s">
        <v>30</v>
      </c>
      <c r="F366" s="37" t="s">
        <v>102</v>
      </c>
      <c r="G366" s="38">
        <v>1</v>
      </c>
      <c r="H366" s="37" t="s">
        <v>77</v>
      </c>
      <c r="I366" s="37" t="s">
        <v>78</v>
      </c>
      <c r="J366" s="37" t="s">
        <v>56</v>
      </c>
      <c r="K366" s="6"/>
    </row>
    <row r="367" spans="1:11" s="26" customFormat="1" x14ac:dyDescent="0.25">
      <c r="A367" s="107"/>
      <c r="B367" s="1" t="s">
        <v>50</v>
      </c>
      <c r="C367" s="38">
        <v>905</v>
      </c>
      <c r="D367" s="37" t="s">
        <v>2</v>
      </c>
      <c r="E367" s="37" t="s">
        <v>30</v>
      </c>
      <c r="F367" s="37" t="s">
        <v>102</v>
      </c>
      <c r="G367" s="38">
        <v>1</v>
      </c>
      <c r="H367" s="37" t="s">
        <v>77</v>
      </c>
      <c r="I367" s="37" t="s">
        <v>78</v>
      </c>
      <c r="J367" s="37" t="s">
        <v>51</v>
      </c>
      <c r="K367" s="6">
        <v>4</v>
      </c>
    </row>
    <row r="368" spans="1:11" s="26" customFormat="1" x14ac:dyDescent="0.25">
      <c r="A368" s="107"/>
      <c r="B368" s="1" t="s">
        <v>277</v>
      </c>
      <c r="C368" s="2">
        <v>905</v>
      </c>
      <c r="D368" s="39" t="s">
        <v>2</v>
      </c>
      <c r="E368" s="39" t="s">
        <v>23</v>
      </c>
      <c r="F368" s="37"/>
      <c r="G368" s="38"/>
      <c r="H368" s="37"/>
      <c r="I368" s="37"/>
      <c r="J368" s="37"/>
      <c r="K368" s="6">
        <f>SUM(K369)</f>
        <v>5667.4000000000024</v>
      </c>
    </row>
    <row r="369" spans="1:11" s="26" customFormat="1" x14ac:dyDescent="0.25">
      <c r="A369" s="107"/>
      <c r="B369" s="1" t="s">
        <v>53</v>
      </c>
      <c r="C369" s="2">
        <v>905</v>
      </c>
      <c r="D369" s="37" t="s">
        <v>2</v>
      </c>
      <c r="E369" s="37" t="s">
        <v>23</v>
      </c>
      <c r="F369" s="37" t="s">
        <v>456</v>
      </c>
      <c r="G369" s="38"/>
      <c r="H369" s="37"/>
      <c r="I369" s="37"/>
      <c r="J369" s="37"/>
      <c r="K369" s="6">
        <f>SUM(K370)</f>
        <v>5667.4000000000024</v>
      </c>
    </row>
    <row r="370" spans="1:11" s="26" customFormat="1" ht="31.2" x14ac:dyDescent="0.25">
      <c r="A370" s="107"/>
      <c r="B370" s="1" t="s">
        <v>370</v>
      </c>
      <c r="C370" s="2">
        <v>905</v>
      </c>
      <c r="D370" s="37" t="s">
        <v>2</v>
      </c>
      <c r="E370" s="37" t="s">
        <v>23</v>
      </c>
      <c r="F370" s="37" t="s">
        <v>456</v>
      </c>
      <c r="G370" s="38">
        <v>0</v>
      </c>
      <c r="H370" s="37" t="s">
        <v>77</v>
      </c>
      <c r="I370" s="37" t="s">
        <v>103</v>
      </c>
      <c r="J370" s="37"/>
      <c r="K370" s="6">
        <f>SUM(K371)</f>
        <v>5667.4000000000024</v>
      </c>
    </row>
    <row r="371" spans="1:11" s="26" customFormat="1" x14ac:dyDescent="0.25">
      <c r="A371" s="107"/>
      <c r="B371" s="1" t="s">
        <v>50</v>
      </c>
      <c r="C371" s="2">
        <v>905</v>
      </c>
      <c r="D371" s="37" t="s">
        <v>2</v>
      </c>
      <c r="E371" s="37" t="s">
        <v>23</v>
      </c>
      <c r="F371" s="37" t="s">
        <v>456</v>
      </c>
      <c r="G371" s="38">
        <v>0</v>
      </c>
      <c r="H371" s="37" t="s">
        <v>77</v>
      </c>
      <c r="I371" s="37" t="s">
        <v>103</v>
      </c>
      <c r="J371" s="37" t="s">
        <v>51</v>
      </c>
      <c r="K371" s="6">
        <f>5000-237.1+64780.8-200-14363.9+88.3-200-300-10452.6-0.1-808.1+(-8647.8+8647.8)+(-28452.2)+(-9035.5)-152.2</f>
        <v>5667.4000000000024</v>
      </c>
    </row>
    <row r="372" spans="1:11" s="26" customFormat="1" x14ac:dyDescent="0.25">
      <c r="A372" s="107"/>
      <c r="B372" s="1" t="s">
        <v>9</v>
      </c>
      <c r="C372" s="2">
        <v>905</v>
      </c>
      <c r="D372" s="37" t="s">
        <v>2</v>
      </c>
      <c r="E372" s="37" t="s">
        <v>40</v>
      </c>
      <c r="F372" s="37"/>
      <c r="G372" s="38"/>
      <c r="H372" s="37"/>
      <c r="I372" s="37"/>
      <c r="J372" s="37"/>
      <c r="K372" s="6">
        <f>K373</f>
        <v>620.4</v>
      </c>
    </row>
    <row r="373" spans="1:11" s="26" customFormat="1" ht="31.2" x14ac:dyDescent="0.25">
      <c r="A373" s="107"/>
      <c r="B373" s="1" t="s">
        <v>334</v>
      </c>
      <c r="C373" s="2">
        <v>905</v>
      </c>
      <c r="D373" s="37" t="s">
        <v>2</v>
      </c>
      <c r="E373" s="37" t="s">
        <v>40</v>
      </c>
      <c r="F373" s="37" t="s">
        <v>8</v>
      </c>
      <c r="G373" s="38"/>
      <c r="H373" s="37"/>
      <c r="I373" s="37"/>
      <c r="J373" s="37"/>
      <c r="K373" s="6">
        <f>SUM(K374)</f>
        <v>620.4</v>
      </c>
    </row>
    <row r="374" spans="1:11" s="26" customFormat="1" ht="31.2" x14ac:dyDescent="0.25">
      <c r="A374" s="107"/>
      <c r="B374" s="1" t="s">
        <v>335</v>
      </c>
      <c r="C374" s="2">
        <v>905</v>
      </c>
      <c r="D374" s="37" t="s">
        <v>2</v>
      </c>
      <c r="E374" s="37" t="s">
        <v>40</v>
      </c>
      <c r="F374" s="37" t="s">
        <v>8</v>
      </c>
      <c r="G374" s="38">
        <v>1</v>
      </c>
      <c r="H374" s="37"/>
      <c r="I374" s="37"/>
      <c r="J374" s="37"/>
      <c r="K374" s="6">
        <f>SUM(K375)</f>
        <v>620.4</v>
      </c>
    </row>
    <row r="375" spans="1:11" s="26" customFormat="1" ht="31.2" x14ac:dyDescent="0.25">
      <c r="A375" s="107"/>
      <c r="B375" s="1" t="s">
        <v>91</v>
      </c>
      <c r="C375" s="2">
        <v>905</v>
      </c>
      <c r="D375" s="37" t="s">
        <v>2</v>
      </c>
      <c r="E375" s="37" t="s">
        <v>40</v>
      </c>
      <c r="F375" s="37" t="s">
        <v>8</v>
      </c>
      <c r="G375" s="38">
        <v>1</v>
      </c>
      <c r="H375" s="37" t="s">
        <v>4</v>
      </c>
      <c r="I375" s="37"/>
      <c r="J375" s="37"/>
      <c r="K375" s="6">
        <f>SUM(K376+K378)</f>
        <v>620.4</v>
      </c>
    </row>
    <row r="376" spans="1:11" s="26" customFormat="1" x14ac:dyDescent="0.25">
      <c r="A376" s="107"/>
      <c r="B376" s="1" t="s">
        <v>234</v>
      </c>
      <c r="C376" s="2">
        <v>905</v>
      </c>
      <c r="D376" s="37" t="s">
        <v>2</v>
      </c>
      <c r="E376" s="37" t="s">
        <v>40</v>
      </c>
      <c r="F376" s="37" t="s">
        <v>8</v>
      </c>
      <c r="G376" s="38">
        <v>1</v>
      </c>
      <c r="H376" s="37" t="s">
        <v>4</v>
      </c>
      <c r="I376" s="37" t="s">
        <v>233</v>
      </c>
      <c r="J376" s="37"/>
      <c r="K376" s="6">
        <f>K377</f>
        <v>203.2</v>
      </c>
    </row>
    <row r="377" spans="1:11" s="26" customFormat="1" ht="31.2" x14ac:dyDescent="0.25">
      <c r="A377" s="107"/>
      <c r="B377" s="1" t="s">
        <v>123</v>
      </c>
      <c r="C377" s="2">
        <v>905</v>
      </c>
      <c r="D377" s="37" t="s">
        <v>2</v>
      </c>
      <c r="E377" s="37" t="s">
        <v>40</v>
      </c>
      <c r="F377" s="37" t="s">
        <v>8</v>
      </c>
      <c r="G377" s="38">
        <v>1</v>
      </c>
      <c r="H377" s="37" t="s">
        <v>4</v>
      </c>
      <c r="I377" s="37" t="s">
        <v>233</v>
      </c>
      <c r="J377" s="37" t="s">
        <v>49</v>
      </c>
      <c r="K377" s="6">
        <v>203.2</v>
      </c>
    </row>
    <row r="378" spans="1:11" s="26" customFormat="1" ht="31.2" x14ac:dyDescent="0.25">
      <c r="A378" s="107"/>
      <c r="B378" s="1" t="s">
        <v>238</v>
      </c>
      <c r="C378" s="2">
        <v>905</v>
      </c>
      <c r="D378" s="37" t="s">
        <v>2</v>
      </c>
      <c r="E378" s="37" t="s">
        <v>40</v>
      </c>
      <c r="F378" s="37" t="s">
        <v>8</v>
      </c>
      <c r="G378" s="38">
        <v>1</v>
      </c>
      <c r="H378" s="37" t="s">
        <v>4</v>
      </c>
      <c r="I378" s="37" t="s">
        <v>239</v>
      </c>
      <c r="J378" s="37"/>
      <c r="K378" s="6">
        <f>K379</f>
        <v>417.2</v>
      </c>
    </row>
    <row r="379" spans="1:11" s="26" customFormat="1" ht="31.2" x14ac:dyDescent="0.25">
      <c r="A379" s="107"/>
      <c r="B379" s="1" t="s">
        <v>123</v>
      </c>
      <c r="C379" s="2">
        <v>905</v>
      </c>
      <c r="D379" s="37" t="s">
        <v>2</v>
      </c>
      <c r="E379" s="37" t="s">
        <v>40</v>
      </c>
      <c r="F379" s="37" t="s">
        <v>8</v>
      </c>
      <c r="G379" s="38">
        <v>1</v>
      </c>
      <c r="H379" s="37" t="s">
        <v>4</v>
      </c>
      <c r="I379" s="37" t="s">
        <v>239</v>
      </c>
      <c r="J379" s="37" t="s">
        <v>49</v>
      </c>
      <c r="K379" s="6">
        <f>417.2</f>
        <v>417.2</v>
      </c>
    </row>
    <row r="380" spans="1:11" s="26" customFormat="1" x14ac:dyDescent="0.25">
      <c r="A380" s="107"/>
      <c r="B380" s="1" t="s">
        <v>15</v>
      </c>
      <c r="C380" s="2">
        <v>905</v>
      </c>
      <c r="D380" s="37" t="s">
        <v>6</v>
      </c>
      <c r="E380" s="37"/>
      <c r="F380" s="39"/>
      <c r="G380" s="49"/>
      <c r="H380" s="39"/>
      <c r="I380" s="39"/>
      <c r="J380" s="37"/>
      <c r="K380" s="6">
        <f>SUM(K381)</f>
        <v>6584.4</v>
      </c>
    </row>
    <row r="381" spans="1:11" s="26" customFormat="1" x14ac:dyDescent="0.25">
      <c r="A381" s="107"/>
      <c r="B381" s="1" t="s">
        <v>69</v>
      </c>
      <c r="C381" s="2">
        <v>905</v>
      </c>
      <c r="D381" s="37" t="s">
        <v>6</v>
      </c>
      <c r="E381" s="37" t="s">
        <v>70</v>
      </c>
      <c r="F381" s="37"/>
      <c r="G381" s="37"/>
      <c r="H381" s="37"/>
      <c r="I381" s="37"/>
      <c r="J381" s="37"/>
      <c r="K381" s="6">
        <f t="shared" ref="K381:K385" si="20">SUM(K382)</f>
        <v>6584.4</v>
      </c>
    </row>
    <row r="382" spans="1:11" s="26" customFormat="1" ht="31.2" x14ac:dyDescent="0.25">
      <c r="A382" s="107"/>
      <c r="B382" s="40" t="s">
        <v>371</v>
      </c>
      <c r="C382" s="2">
        <v>905</v>
      </c>
      <c r="D382" s="37" t="s">
        <v>6</v>
      </c>
      <c r="E382" s="37" t="s">
        <v>70</v>
      </c>
      <c r="F382" s="37" t="s">
        <v>8</v>
      </c>
      <c r="G382" s="37"/>
      <c r="H382" s="37"/>
      <c r="I382" s="37"/>
      <c r="J382" s="37"/>
      <c r="K382" s="6">
        <f t="shared" si="20"/>
        <v>6584.4</v>
      </c>
    </row>
    <row r="383" spans="1:11" s="26" customFormat="1" ht="31.2" x14ac:dyDescent="0.25">
      <c r="A383" s="107"/>
      <c r="B383" s="40" t="s">
        <v>335</v>
      </c>
      <c r="C383" s="2">
        <v>905</v>
      </c>
      <c r="D383" s="37" t="s">
        <v>6</v>
      </c>
      <c r="E383" s="37" t="s">
        <v>70</v>
      </c>
      <c r="F383" s="37" t="s">
        <v>8</v>
      </c>
      <c r="G383" s="37" t="s">
        <v>90</v>
      </c>
      <c r="H383" s="37"/>
      <c r="I383" s="37"/>
      <c r="J383" s="37"/>
      <c r="K383" s="6">
        <f t="shared" si="20"/>
        <v>6584.4</v>
      </c>
    </row>
    <row r="384" spans="1:11" s="26" customFormat="1" ht="31.2" x14ac:dyDescent="0.25">
      <c r="A384" s="107"/>
      <c r="B384" s="40" t="s">
        <v>91</v>
      </c>
      <c r="C384" s="2">
        <v>905</v>
      </c>
      <c r="D384" s="37" t="s">
        <v>6</v>
      </c>
      <c r="E384" s="37" t="s">
        <v>70</v>
      </c>
      <c r="F384" s="37" t="s">
        <v>8</v>
      </c>
      <c r="G384" s="37" t="s">
        <v>90</v>
      </c>
      <c r="H384" s="37" t="s">
        <v>4</v>
      </c>
      <c r="I384" s="37"/>
      <c r="J384" s="37"/>
      <c r="K384" s="6">
        <f t="shared" si="20"/>
        <v>6584.4</v>
      </c>
    </row>
    <row r="385" spans="1:11" s="26" customFormat="1" ht="31.2" x14ac:dyDescent="0.25">
      <c r="A385" s="107"/>
      <c r="B385" s="44" t="s">
        <v>241</v>
      </c>
      <c r="C385" s="2">
        <v>905</v>
      </c>
      <c r="D385" s="37" t="s">
        <v>6</v>
      </c>
      <c r="E385" s="37" t="s">
        <v>70</v>
      </c>
      <c r="F385" s="37" t="s">
        <v>8</v>
      </c>
      <c r="G385" s="37" t="s">
        <v>90</v>
      </c>
      <c r="H385" s="37" t="s">
        <v>4</v>
      </c>
      <c r="I385" s="37" t="s">
        <v>240</v>
      </c>
      <c r="J385" s="37"/>
      <c r="K385" s="6">
        <f t="shared" si="20"/>
        <v>6584.4</v>
      </c>
    </row>
    <row r="386" spans="1:11" s="26" customFormat="1" ht="31.2" x14ac:dyDescent="0.25">
      <c r="A386" s="107"/>
      <c r="B386" s="1" t="s">
        <v>123</v>
      </c>
      <c r="C386" s="2">
        <v>905</v>
      </c>
      <c r="D386" s="37" t="s">
        <v>6</v>
      </c>
      <c r="E386" s="37" t="s">
        <v>70</v>
      </c>
      <c r="F386" s="37" t="s">
        <v>8</v>
      </c>
      <c r="G386" s="37" t="s">
        <v>90</v>
      </c>
      <c r="H386" s="37" t="s">
        <v>4</v>
      </c>
      <c r="I386" s="37" t="s">
        <v>240</v>
      </c>
      <c r="J386" s="37" t="s">
        <v>49</v>
      </c>
      <c r="K386" s="6">
        <v>6584.4</v>
      </c>
    </row>
    <row r="387" spans="1:11" s="26" customFormat="1" x14ac:dyDescent="0.25">
      <c r="A387" s="107"/>
      <c r="B387" s="1" t="s">
        <v>18</v>
      </c>
      <c r="C387" s="2">
        <v>905</v>
      </c>
      <c r="D387" s="39" t="s">
        <v>8</v>
      </c>
      <c r="E387" s="39"/>
      <c r="F387" s="37"/>
      <c r="G387" s="37"/>
      <c r="H387" s="37"/>
      <c r="I387" s="37"/>
      <c r="J387" s="39"/>
      <c r="K387" s="6">
        <f>K388</f>
        <v>105.3</v>
      </c>
    </row>
    <row r="388" spans="1:11" s="26" customFormat="1" ht="20.25" customHeight="1" x14ac:dyDescent="0.25">
      <c r="A388" s="107"/>
      <c r="B388" s="1" t="s">
        <v>235</v>
      </c>
      <c r="C388" s="2">
        <v>905</v>
      </c>
      <c r="D388" s="39" t="s">
        <v>8</v>
      </c>
      <c r="E388" s="39" t="s">
        <v>7</v>
      </c>
      <c r="F388" s="37"/>
      <c r="G388" s="37"/>
      <c r="H388" s="37"/>
      <c r="I388" s="37"/>
      <c r="J388" s="39"/>
      <c r="K388" s="6">
        <f>K389</f>
        <v>105.3</v>
      </c>
    </row>
    <row r="389" spans="1:11" s="26" customFormat="1" ht="31.2" x14ac:dyDescent="0.25">
      <c r="A389" s="107"/>
      <c r="B389" s="1" t="s">
        <v>334</v>
      </c>
      <c r="C389" s="2">
        <v>905</v>
      </c>
      <c r="D389" s="39" t="s">
        <v>8</v>
      </c>
      <c r="E389" s="39" t="s">
        <v>7</v>
      </c>
      <c r="F389" s="37" t="s">
        <v>8</v>
      </c>
      <c r="G389" s="37"/>
      <c r="H389" s="37"/>
      <c r="I389" s="37"/>
      <c r="J389" s="39"/>
      <c r="K389" s="6">
        <f>K390</f>
        <v>105.3</v>
      </c>
    </row>
    <row r="390" spans="1:11" s="26" customFormat="1" ht="31.2" x14ac:dyDescent="0.25">
      <c r="A390" s="107"/>
      <c r="B390" s="1" t="s">
        <v>335</v>
      </c>
      <c r="C390" s="2">
        <v>905</v>
      </c>
      <c r="D390" s="39" t="s">
        <v>8</v>
      </c>
      <c r="E390" s="39" t="s">
        <v>7</v>
      </c>
      <c r="F390" s="37" t="s">
        <v>8</v>
      </c>
      <c r="G390" s="37" t="s">
        <v>90</v>
      </c>
      <c r="H390" s="37"/>
      <c r="I390" s="37"/>
      <c r="J390" s="39"/>
      <c r="K390" s="6">
        <f>K391</f>
        <v>105.3</v>
      </c>
    </row>
    <row r="391" spans="1:11" s="26" customFormat="1" ht="31.2" x14ac:dyDescent="0.25">
      <c r="A391" s="107"/>
      <c r="B391" s="1" t="s">
        <v>91</v>
      </c>
      <c r="C391" s="2">
        <v>905</v>
      </c>
      <c r="D391" s="39" t="s">
        <v>8</v>
      </c>
      <c r="E391" s="39" t="s">
        <v>7</v>
      </c>
      <c r="F391" s="37" t="s">
        <v>8</v>
      </c>
      <c r="G391" s="37" t="s">
        <v>90</v>
      </c>
      <c r="H391" s="37" t="s">
        <v>4</v>
      </c>
      <c r="I391" s="37"/>
      <c r="J391" s="39"/>
      <c r="K391" s="6">
        <f>K392</f>
        <v>105.3</v>
      </c>
    </row>
    <row r="392" spans="1:11" s="26" customFormat="1" x14ac:dyDescent="0.25">
      <c r="A392" s="107"/>
      <c r="B392" s="1" t="s">
        <v>237</v>
      </c>
      <c r="C392" s="2">
        <v>905</v>
      </c>
      <c r="D392" s="39" t="s">
        <v>8</v>
      </c>
      <c r="E392" s="39" t="s">
        <v>7</v>
      </c>
      <c r="F392" s="37" t="s">
        <v>8</v>
      </c>
      <c r="G392" s="37" t="s">
        <v>90</v>
      </c>
      <c r="H392" s="37" t="s">
        <v>4</v>
      </c>
      <c r="I392" s="37" t="s">
        <v>236</v>
      </c>
      <c r="J392" s="39"/>
      <c r="K392" s="6">
        <f>SUM(K393:K394)</f>
        <v>105.3</v>
      </c>
    </row>
    <row r="393" spans="1:11" s="26" customFormat="1" ht="49.5" customHeight="1" x14ac:dyDescent="0.25">
      <c r="A393" s="107"/>
      <c r="B393" s="1" t="s">
        <v>122</v>
      </c>
      <c r="C393" s="2">
        <v>905</v>
      </c>
      <c r="D393" s="39" t="s">
        <v>8</v>
      </c>
      <c r="E393" s="39" t="s">
        <v>7</v>
      </c>
      <c r="F393" s="37" t="s">
        <v>8</v>
      </c>
      <c r="G393" s="37" t="s">
        <v>90</v>
      </c>
      <c r="H393" s="37" t="s">
        <v>4</v>
      </c>
      <c r="I393" s="37" t="s">
        <v>236</v>
      </c>
      <c r="J393" s="39" t="s">
        <v>48</v>
      </c>
      <c r="K393" s="6"/>
    </row>
    <row r="394" spans="1:11" s="26" customFormat="1" ht="31.2" x14ac:dyDescent="0.25">
      <c r="A394" s="107"/>
      <c r="B394" s="1" t="s">
        <v>123</v>
      </c>
      <c r="C394" s="2">
        <v>905</v>
      </c>
      <c r="D394" s="39" t="s">
        <v>8</v>
      </c>
      <c r="E394" s="39" t="s">
        <v>7</v>
      </c>
      <c r="F394" s="37" t="s">
        <v>8</v>
      </c>
      <c r="G394" s="37" t="s">
        <v>90</v>
      </c>
      <c r="H394" s="37" t="s">
        <v>4</v>
      </c>
      <c r="I394" s="37" t="s">
        <v>236</v>
      </c>
      <c r="J394" s="39" t="s">
        <v>49</v>
      </c>
      <c r="K394" s="6">
        <v>105.3</v>
      </c>
    </row>
    <row r="395" spans="1:11" s="26" customFormat="1" x14ac:dyDescent="0.25">
      <c r="A395" s="107"/>
      <c r="B395" s="1" t="s">
        <v>554</v>
      </c>
      <c r="C395" s="2">
        <v>905</v>
      </c>
      <c r="D395" s="37" t="s">
        <v>40</v>
      </c>
      <c r="E395" s="37"/>
      <c r="F395" s="37"/>
      <c r="G395" s="38"/>
      <c r="H395" s="37"/>
      <c r="I395" s="37"/>
      <c r="J395" s="37"/>
      <c r="K395" s="6">
        <f t="shared" ref="K395:K400" si="21">K396</f>
        <v>54.7</v>
      </c>
    </row>
    <row r="396" spans="1:11" s="26" customFormat="1" x14ac:dyDescent="0.25">
      <c r="A396" s="107"/>
      <c r="B396" s="1" t="s">
        <v>555</v>
      </c>
      <c r="C396" s="2">
        <v>905</v>
      </c>
      <c r="D396" s="37" t="s">
        <v>40</v>
      </c>
      <c r="E396" s="37" t="s">
        <v>2</v>
      </c>
      <c r="F396" s="37"/>
      <c r="G396" s="38"/>
      <c r="H396" s="37"/>
      <c r="I396" s="37"/>
      <c r="J396" s="37"/>
      <c r="K396" s="6">
        <f t="shared" si="21"/>
        <v>54.7</v>
      </c>
    </row>
    <row r="397" spans="1:11" s="26" customFormat="1" x14ac:dyDescent="0.25">
      <c r="A397" s="107"/>
      <c r="B397" s="1" t="s">
        <v>454</v>
      </c>
      <c r="C397" s="2">
        <v>905</v>
      </c>
      <c r="D397" s="37" t="s">
        <v>40</v>
      </c>
      <c r="E397" s="37" t="s">
        <v>2</v>
      </c>
      <c r="F397" s="37" t="s">
        <v>453</v>
      </c>
      <c r="G397" s="38"/>
      <c r="H397" s="37"/>
      <c r="I397" s="37"/>
      <c r="J397" s="37"/>
      <c r="K397" s="6">
        <f t="shared" si="21"/>
        <v>54.7</v>
      </c>
    </row>
    <row r="398" spans="1:11" s="26" customFormat="1" x14ac:dyDescent="0.25">
      <c r="A398" s="107"/>
      <c r="B398" s="40" t="s">
        <v>455</v>
      </c>
      <c r="C398" s="2">
        <v>905</v>
      </c>
      <c r="D398" s="37" t="s">
        <v>40</v>
      </c>
      <c r="E398" s="37" t="s">
        <v>2</v>
      </c>
      <c r="F398" s="37" t="s">
        <v>453</v>
      </c>
      <c r="G398" s="38">
        <v>1</v>
      </c>
      <c r="H398" s="37"/>
      <c r="I398" s="37"/>
      <c r="J398" s="37"/>
      <c r="K398" s="6">
        <f t="shared" si="21"/>
        <v>54.7</v>
      </c>
    </row>
    <row r="399" spans="1:11" s="26" customFormat="1" ht="46.8" x14ac:dyDescent="0.25">
      <c r="A399" s="107"/>
      <c r="B399" s="40" t="s">
        <v>372</v>
      </c>
      <c r="C399" s="2">
        <v>905</v>
      </c>
      <c r="D399" s="37" t="s">
        <v>40</v>
      </c>
      <c r="E399" s="37" t="s">
        <v>2</v>
      </c>
      <c r="F399" s="37" t="s">
        <v>453</v>
      </c>
      <c r="G399" s="38">
        <v>1</v>
      </c>
      <c r="H399" s="37" t="s">
        <v>2</v>
      </c>
      <c r="I399" s="37"/>
      <c r="J399" s="37"/>
      <c r="K399" s="6">
        <f t="shared" si="21"/>
        <v>54.7</v>
      </c>
    </row>
    <row r="400" spans="1:11" s="26" customFormat="1" x14ac:dyDescent="0.25">
      <c r="A400" s="107"/>
      <c r="B400" s="40" t="s">
        <v>100</v>
      </c>
      <c r="C400" s="2">
        <v>905</v>
      </c>
      <c r="D400" s="37" t="s">
        <v>40</v>
      </c>
      <c r="E400" s="37" t="s">
        <v>2</v>
      </c>
      <c r="F400" s="37" t="s">
        <v>453</v>
      </c>
      <c r="G400" s="38">
        <v>1</v>
      </c>
      <c r="H400" s="37" t="s">
        <v>2</v>
      </c>
      <c r="I400" s="37" t="s">
        <v>101</v>
      </c>
      <c r="J400" s="37"/>
      <c r="K400" s="6">
        <f t="shared" si="21"/>
        <v>54.7</v>
      </c>
    </row>
    <row r="401" spans="1:19" s="26" customFormat="1" x14ac:dyDescent="0.25">
      <c r="A401" s="107"/>
      <c r="B401" s="1" t="s">
        <v>554</v>
      </c>
      <c r="C401" s="2">
        <v>905</v>
      </c>
      <c r="D401" s="37" t="s">
        <v>40</v>
      </c>
      <c r="E401" s="37" t="s">
        <v>2</v>
      </c>
      <c r="F401" s="37" t="s">
        <v>453</v>
      </c>
      <c r="G401" s="38">
        <v>1</v>
      </c>
      <c r="H401" s="37" t="s">
        <v>2</v>
      </c>
      <c r="I401" s="37" t="s">
        <v>101</v>
      </c>
      <c r="J401" s="37" t="s">
        <v>57</v>
      </c>
      <c r="K401" s="6">
        <v>54.7</v>
      </c>
    </row>
    <row r="402" spans="1:19" s="50" customFormat="1" ht="31.2" x14ac:dyDescent="0.25">
      <c r="A402" s="106">
        <v>4</v>
      </c>
      <c r="B402" s="1" t="s">
        <v>373</v>
      </c>
      <c r="C402" s="38">
        <v>910</v>
      </c>
      <c r="D402" s="37"/>
      <c r="E402" s="37"/>
      <c r="F402" s="37"/>
      <c r="G402" s="38"/>
      <c r="H402" s="37"/>
      <c r="I402" s="37"/>
      <c r="J402" s="37"/>
      <c r="K402" s="6">
        <f>SUM(K403+K422+K429)</f>
        <v>15393.300000000001</v>
      </c>
      <c r="L402" s="15"/>
      <c r="M402" s="15"/>
      <c r="N402" s="15"/>
      <c r="O402" s="15"/>
      <c r="P402" s="15"/>
      <c r="Q402" s="15"/>
      <c r="R402" s="15"/>
      <c r="S402" s="15"/>
    </row>
    <row r="403" spans="1:19" s="50" customFormat="1" x14ac:dyDescent="0.25">
      <c r="A403" s="107"/>
      <c r="B403" s="1" t="s">
        <v>1</v>
      </c>
      <c r="C403" s="38">
        <v>910</v>
      </c>
      <c r="D403" s="37" t="s">
        <v>2</v>
      </c>
      <c r="E403" s="37"/>
      <c r="F403" s="37"/>
      <c r="G403" s="38"/>
      <c r="H403" s="37"/>
      <c r="I403" s="37"/>
      <c r="J403" s="37"/>
      <c r="K403" s="6">
        <f>SUM(K404+K416)</f>
        <v>14831.1</v>
      </c>
      <c r="L403" s="15"/>
      <c r="M403" s="15"/>
      <c r="N403" s="15"/>
      <c r="O403" s="15"/>
      <c r="P403" s="15"/>
      <c r="Q403" s="15"/>
      <c r="R403" s="15"/>
      <c r="S403" s="15"/>
    </row>
    <row r="404" spans="1:19" s="50" customFormat="1" ht="31.2" x14ac:dyDescent="0.25">
      <c r="A404" s="107"/>
      <c r="B404" s="1" t="s">
        <v>43</v>
      </c>
      <c r="C404" s="38">
        <v>910</v>
      </c>
      <c r="D404" s="37" t="s">
        <v>2</v>
      </c>
      <c r="E404" s="37" t="s">
        <v>30</v>
      </c>
      <c r="F404" s="37"/>
      <c r="G404" s="38"/>
      <c r="H404" s="37"/>
      <c r="I404" s="37"/>
      <c r="J404" s="37"/>
      <c r="K404" s="6">
        <f>SUM(K405+K410)</f>
        <v>14797</v>
      </c>
      <c r="L404" s="15"/>
      <c r="M404" s="15"/>
      <c r="N404" s="15"/>
      <c r="O404" s="15"/>
      <c r="P404" s="15"/>
      <c r="Q404" s="15"/>
      <c r="R404" s="15"/>
      <c r="S404" s="15"/>
    </row>
    <row r="405" spans="1:19" s="50" customFormat="1" ht="16.5" customHeight="1" x14ac:dyDescent="0.25">
      <c r="A405" s="107"/>
      <c r="B405" s="40" t="s">
        <v>166</v>
      </c>
      <c r="C405" s="38">
        <v>910</v>
      </c>
      <c r="D405" s="37" t="s">
        <v>2</v>
      </c>
      <c r="E405" s="37" t="s">
        <v>30</v>
      </c>
      <c r="F405" s="39" t="s">
        <v>92</v>
      </c>
      <c r="G405" s="2"/>
      <c r="H405" s="37"/>
      <c r="I405" s="37"/>
      <c r="J405" s="37"/>
      <c r="K405" s="6">
        <f>K406</f>
        <v>780</v>
      </c>
      <c r="L405" s="15"/>
      <c r="M405" s="15"/>
      <c r="N405" s="15"/>
      <c r="O405" s="15"/>
      <c r="P405" s="15"/>
      <c r="Q405" s="15"/>
      <c r="R405" s="15"/>
      <c r="S405" s="15"/>
    </row>
    <row r="406" spans="1:19" s="50" customFormat="1" ht="46.8" x14ac:dyDescent="0.25">
      <c r="A406" s="107"/>
      <c r="B406" s="40" t="s">
        <v>375</v>
      </c>
      <c r="C406" s="38">
        <v>910</v>
      </c>
      <c r="D406" s="37" t="s">
        <v>2</v>
      </c>
      <c r="E406" s="37" t="s">
        <v>30</v>
      </c>
      <c r="F406" s="39" t="s">
        <v>92</v>
      </c>
      <c r="G406" s="2">
        <v>1</v>
      </c>
      <c r="H406" s="37"/>
      <c r="I406" s="37"/>
      <c r="J406" s="37"/>
      <c r="K406" s="6">
        <f>K407</f>
        <v>780</v>
      </c>
      <c r="L406" s="15"/>
      <c r="M406" s="15"/>
      <c r="N406" s="15"/>
      <c r="O406" s="15"/>
      <c r="P406" s="15"/>
      <c r="Q406" s="15"/>
      <c r="R406" s="15"/>
      <c r="S406" s="15"/>
    </row>
    <row r="407" spans="1:19" s="50" customFormat="1" ht="31.2" x14ac:dyDescent="0.25">
      <c r="A407" s="107"/>
      <c r="B407" s="1" t="s">
        <v>374</v>
      </c>
      <c r="C407" s="38">
        <v>910</v>
      </c>
      <c r="D407" s="37" t="s">
        <v>2</v>
      </c>
      <c r="E407" s="37" t="s">
        <v>30</v>
      </c>
      <c r="F407" s="39" t="s">
        <v>92</v>
      </c>
      <c r="G407" s="2">
        <v>1</v>
      </c>
      <c r="H407" s="39" t="s">
        <v>5</v>
      </c>
      <c r="I407" s="39"/>
      <c r="J407" s="39"/>
      <c r="K407" s="6">
        <f>K408</f>
        <v>780</v>
      </c>
      <c r="L407" s="15"/>
      <c r="M407" s="15"/>
      <c r="N407" s="15"/>
      <c r="O407" s="15"/>
      <c r="P407" s="15"/>
      <c r="Q407" s="15"/>
      <c r="R407" s="15"/>
      <c r="S407" s="15"/>
    </row>
    <row r="408" spans="1:19" s="50" customFormat="1" ht="31.2" x14ac:dyDescent="0.25">
      <c r="A408" s="107"/>
      <c r="B408" s="1" t="s">
        <v>167</v>
      </c>
      <c r="C408" s="38">
        <v>910</v>
      </c>
      <c r="D408" s="37" t="s">
        <v>2</v>
      </c>
      <c r="E408" s="37" t="s">
        <v>30</v>
      </c>
      <c r="F408" s="39" t="s">
        <v>92</v>
      </c>
      <c r="G408" s="2">
        <v>1</v>
      </c>
      <c r="H408" s="39" t="s">
        <v>5</v>
      </c>
      <c r="I408" s="39" t="s">
        <v>149</v>
      </c>
      <c r="J408" s="39"/>
      <c r="K408" s="6">
        <f>K409</f>
        <v>780</v>
      </c>
      <c r="L408" s="15"/>
      <c r="M408" s="15"/>
      <c r="N408" s="15"/>
      <c r="O408" s="15"/>
      <c r="P408" s="15"/>
      <c r="Q408" s="15"/>
      <c r="R408" s="15"/>
      <c r="S408" s="15"/>
    </row>
    <row r="409" spans="1:19" ht="31.2" x14ac:dyDescent="0.25">
      <c r="A409" s="107"/>
      <c r="B409" s="1" t="s">
        <v>123</v>
      </c>
      <c r="C409" s="38">
        <v>910</v>
      </c>
      <c r="D409" s="37" t="s">
        <v>2</v>
      </c>
      <c r="E409" s="37" t="s">
        <v>30</v>
      </c>
      <c r="F409" s="39" t="s">
        <v>92</v>
      </c>
      <c r="G409" s="2">
        <v>1</v>
      </c>
      <c r="H409" s="39" t="s">
        <v>5</v>
      </c>
      <c r="I409" s="39" t="s">
        <v>149</v>
      </c>
      <c r="J409" s="39" t="s">
        <v>49</v>
      </c>
      <c r="K409" s="6">
        <v>780</v>
      </c>
    </row>
    <row r="410" spans="1:19" ht="31.2" x14ac:dyDescent="0.25">
      <c r="A410" s="107"/>
      <c r="B410" s="1" t="s">
        <v>376</v>
      </c>
      <c r="C410" s="38">
        <v>910</v>
      </c>
      <c r="D410" s="37" t="s">
        <v>2</v>
      </c>
      <c r="E410" s="37" t="s">
        <v>30</v>
      </c>
      <c r="F410" s="37" t="s">
        <v>104</v>
      </c>
      <c r="G410" s="38"/>
      <c r="H410" s="37"/>
      <c r="I410" s="37"/>
      <c r="J410" s="37"/>
      <c r="K410" s="6">
        <f>K411</f>
        <v>14017</v>
      </c>
    </row>
    <row r="411" spans="1:19" s="26" customFormat="1" ht="31.2" x14ac:dyDescent="0.25">
      <c r="A411" s="107"/>
      <c r="B411" s="1" t="s">
        <v>376</v>
      </c>
      <c r="C411" s="38">
        <v>910</v>
      </c>
      <c r="D411" s="37" t="s">
        <v>2</v>
      </c>
      <c r="E411" s="37" t="s">
        <v>30</v>
      </c>
      <c r="F411" s="37" t="s">
        <v>104</v>
      </c>
      <c r="G411" s="38">
        <v>1</v>
      </c>
      <c r="H411" s="37"/>
      <c r="I411" s="37"/>
      <c r="J411" s="37"/>
      <c r="K411" s="6">
        <f>SUM(K412)</f>
        <v>14017</v>
      </c>
    </row>
    <row r="412" spans="1:19" s="26" customFormat="1" x14ac:dyDescent="0.25">
      <c r="A412" s="107"/>
      <c r="B412" s="1" t="s">
        <v>47</v>
      </c>
      <c r="C412" s="38">
        <v>910</v>
      </c>
      <c r="D412" s="37" t="s">
        <v>2</v>
      </c>
      <c r="E412" s="37" t="s">
        <v>30</v>
      </c>
      <c r="F412" s="37" t="s">
        <v>104</v>
      </c>
      <c r="G412" s="38">
        <v>1</v>
      </c>
      <c r="H412" s="37" t="s">
        <v>77</v>
      </c>
      <c r="I412" s="37" t="s">
        <v>78</v>
      </c>
      <c r="J412" s="37"/>
      <c r="K412" s="6">
        <f>SUM(K413:K415)</f>
        <v>14017</v>
      </c>
    </row>
    <row r="413" spans="1:19" s="26" customFormat="1" ht="52.5" customHeight="1" x14ac:dyDescent="0.25">
      <c r="A413" s="107"/>
      <c r="B413" s="1" t="s">
        <v>122</v>
      </c>
      <c r="C413" s="38">
        <v>910</v>
      </c>
      <c r="D413" s="37" t="s">
        <v>2</v>
      </c>
      <c r="E413" s="37" t="s">
        <v>30</v>
      </c>
      <c r="F413" s="37" t="s">
        <v>104</v>
      </c>
      <c r="G413" s="38">
        <v>1</v>
      </c>
      <c r="H413" s="37" t="s">
        <v>77</v>
      </c>
      <c r="I413" s="37" t="s">
        <v>78</v>
      </c>
      <c r="J413" s="37" t="s">
        <v>48</v>
      </c>
      <c r="K413" s="6">
        <v>13380</v>
      </c>
    </row>
    <row r="414" spans="1:19" s="26" customFormat="1" ht="31.2" x14ac:dyDescent="0.25">
      <c r="A414" s="107"/>
      <c r="B414" s="1" t="s">
        <v>123</v>
      </c>
      <c r="C414" s="38">
        <v>910</v>
      </c>
      <c r="D414" s="37" t="s">
        <v>2</v>
      </c>
      <c r="E414" s="37" t="s">
        <v>30</v>
      </c>
      <c r="F414" s="37" t="s">
        <v>104</v>
      </c>
      <c r="G414" s="38">
        <v>1</v>
      </c>
      <c r="H414" s="37" t="s">
        <v>77</v>
      </c>
      <c r="I414" s="37" t="s">
        <v>78</v>
      </c>
      <c r="J414" s="37" t="s">
        <v>49</v>
      </c>
      <c r="K414" s="6">
        <v>610</v>
      </c>
    </row>
    <row r="415" spans="1:19" s="26" customFormat="1" x14ac:dyDescent="0.25">
      <c r="A415" s="107"/>
      <c r="B415" s="1" t="s">
        <v>50</v>
      </c>
      <c r="C415" s="38">
        <v>910</v>
      </c>
      <c r="D415" s="37" t="s">
        <v>2</v>
      </c>
      <c r="E415" s="37" t="s">
        <v>30</v>
      </c>
      <c r="F415" s="37" t="s">
        <v>104</v>
      </c>
      <c r="G415" s="38">
        <v>1</v>
      </c>
      <c r="H415" s="37" t="s">
        <v>77</v>
      </c>
      <c r="I415" s="37" t="s">
        <v>78</v>
      </c>
      <c r="J415" s="37" t="s">
        <v>51</v>
      </c>
      <c r="K415" s="6">
        <v>27</v>
      </c>
    </row>
    <row r="416" spans="1:19" s="26" customFormat="1" x14ac:dyDescent="0.25">
      <c r="A416" s="107"/>
      <c r="B416" s="1" t="s">
        <v>9</v>
      </c>
      <c r="C416" s="2">
        <v>910</v>
      </c>
      <c r="D416" s="37" t="s">
        <v>2</v>
      </c>
      <c r="E416" s="37" t="s">
        <v>40</v>
      </c>
      <c r="F416" s="37"/>
      <c r="G416" s="38"/>
      <c r="H416" s="37"/>
      <c r="I416" s="37"/>
      <c r="J416" s="37"/>
      <c r="K416" s="6">
        <f>SUM(K417)</f>
        <v>34.1</v>
      </c>
    </row>
    <row r="417" spans="1:11" s="26" customFormat="1" ht="31.2" x14ac:dyDescent="0.25">
      <c r="A417" s="107"/>
      <c r="B417" s="1" t="s">
        <v>334</v>
      </c>
      <c r="C417" s="2">
        <v>910</v>
      </c>
      <c r="D417" s="37" t="s">
        <v>2</v>
      </c>
      <c r="E417" s="37" t="s">
        <v>40</v>
      </c>
      <c r="F417" s="37" t="s">
        <v>8</v>
      </c>
      <c r="G417" s="38"/>
      <c r="H417" s="37"/>
      <c r="I417" s="37"/>
      <c r="J417" s="37"/>
      <c r="K417" s="6">
        <f>SUM(K418)</f>
        <v>34.1</v>
      </c>
    </row>
    <row r="418" spans="1:11" s="26" customFormat="1" ht="31.2" x14ac:dyDescent="0.25">
      <c r="A418" s="107"/>
      <c r="B418" s="1" t="s">
        <v>335</v>
      </c>
      <c r="C418" s="2">
        <v>910</v>
      </c>
      <c r="D418" s="37" t="s">
        <v>2</v>
      </c>
      <c r="E418" s="37" t="s">
        <v>40</v>
      </c>
      <c r="F418" s="37" t="s">
        <v>8</v>
      </c>
      <c r="G418" s="38">
        <v>1</v>
      </c>
      <c r="H418" s="37"/>
      <c r="I418" s="37"/>
      <c r="J418" s="37"/>
      <c r="K418" s="6">
        <f>SUM(K419)</f>
        <v>34.1</v>
      </c>
    </row>
    <row r="419" spans="1:11" s="26" customFormat="1" ht="31.2" x14ac:dyDescent="0.25">
      <c r="A419" s="107"/>
      <c r="B419" s="1" t="s">
        <v>91</v>
      </c>
      <c r="C419" s="2">
        <v>910</v>
      </c>
      <c r="D419" s="37" t="s">
        <v>2</v>
      </c>
      <c r="E419" s="37" t="s">
        <v>40</v>
      </c>
      <c r="F419" s="37" t="s">
        <v>8</v>
      </c>
      <c r="G419" s="38">
        <v>1</v>
      </c>
      <c r="H419" s="37" t="s">
        <v>4</v>
      </c>
      <c r="I419" s="37"/>
      <c r="J419" s="37"/>
      <c r="K419" s="6">
        <f>SUM(K420)</f>
        <v>34.1</v>
      </c>
    </row>
    <row r="420" spans="1:11" s="26" customFormat="1" x14ac:dyDescent="0.25">
      <c r="A420" s="107"/>
      <c r="B420" s="1" t="s">
        <v>234</v>
      </c>
      <c r="C420" s="2">
        <v>910</v>
      </c>
      <c r="D420" s="37" t="s">
        <v>2</v>
      </c>
      <c r="E420" s="37" t="s">
        <v>40</v>
      </c>
      <c r="F420" s="37" t="s">
        <v>8</v>
      </c>
      <c r="G420" s="38">
        <v>1</v>
      </c>
      <c r="H420" s="37" t="s">
        <v>4</v>
      </c>
      <c r="I420" s="37" t="s">
        <v>233</v>
      </c>
      <c r="J420" s="37"/>
      <c r="K420" s="6">
        <f>SUM(K421)</f>
        <v>34.1</v>
      </c>
    </row>
    <row r="421" spans="1:11" s="26" customFormat="1" ht="31.2" x14ac:dyDescent="0.25">
      <c r="A421" s="107"/>
      <c r="B421" s="1" t="s">
        <v>123</v>
      </c>
      <c r="C421" s="2">
        <v>910</v>
      </c>
      <c r="D421" s="37" t="s">
        <v>2</v>
      </c>
      <c r="E421" s="37" t="s">
        <v>40</v>
      </c>
      <c r="F421" s="37" t="s">
        <v>8</v>
      </c>
      <c r="G421" s="38">
        <v>1</v>
      </c>
      <c r="H421" s="37" t="s">
        <v>4</v>
      </c>
      <c r="I421" s="37" t="s">
        <v>233</v>
      </c>
      <c r="J421" s="37" t="s">
        <v>49</v>
      </c>
      <c r="K421" s="6">
        <v>34.1</v>
      </c>
    </row>
    <row r="422" spans="1:11" s="26" customFormat="1" x14ac:dyDescent="0.25">
      <c r="A422" s="107"/>
      <c r="B422" s="1" t="s">
        <v>15</v>
      </c>
      <c r="C422" s="2">
        <v>910</v>
      </c>
      <c r="D422" s="37" t="s">
        <v>6</v>
      </c>
      <c r="E422" s="37"/>
      <c r="F422" s="37"/>
      <c r="G422" s="38"/>
      <c r="H422" s="37"/>
      <c r="I422" s="37"/>
      <c r="J422" s="37"/>
      <c r="K422" s="6">
        <f>SUM(K423)</f>
        <v>500.7</v>
      </c>
    </row>
    <row r="423" spans="1:11" s="26" customFormat="1" x14ac:dyDescent="0.25">
      <c r="A423" s="107"/>
      <c r="B423" s="1" t="s">
        <v>69</v>
      </c>
      <c r="C423" s="2">
        <v>910</v>
      </c>
      <c r="D423" s="37" t="s">
        <v>6</v>
      </c>
      <c r="E423" s="37" t="s">
        <v>70</v>
      </c>
      <c r="F423" s="37"/>
      <c r="G423" s="37"/>
      <c r="H423" s="37"/>
      <c r="I423" s="37"/>
      <c r="J423" s="37"/>
      <c r="K423" s="6">
        <f t="shared" ref="K423:K427" si="22">SUM(K424)</f>
        <v>500.7</v>
      </c>
    </row>
    <row r="424" spans="1:11" s="26" customFormat="1" ht="31.2" x14ac:dyDescent="0.25">
      <c r="A424" s="107"/>
      <c r="B424" s="40" t="s">
        <v>371</v>
      </c>
      <c r="C424" s="2">
        <v>910</v>
      </c>
      <c r="D424" s="37" t="s">
        <v>6</v>
      </c>
      <c r="E424" s="37" t="s">
        <v>70</v>
      </c>
      <c r="F424" s="37" t="s">
        <v>8</v>
      </c>
      <c r="G424" s="37"/>
      <c r="H424" s="37"/>
      <c r="I424" s="37"/>
      <c r="J424" s="37"/>
      <c r="K424" s="6">
        <f t="shared" si="22"/>
        <v>500.7</v>
      </c>
    </row>
    <row r="425" spans="1:11" s="26" customFormat="1" ht="31.2" x14ac:dyDescent="0.25">
      <c r="A425" s="107"/>
      <c r="B425" s="40" t="s">
        <v>335</v>
      </c>
      <c r="C425" s="2">
        <v>910</v>
      </c>
      <c r="D425" s="37" t="s">
        <v>6</v>
      </c>
      <c r="E425" s="37" t="s">
        <v>70</v>
      </c>
      <c r="F425" s="37" t="s">
        <v>8</v>
      </c>
      <c r="G425" s="37" t="s">
        <v>90</v>
      </c>
      <c r="H425" s="37"/>
      <c r="I425" s="37"/>
      <c r="J425" s="37"/>
      <c r="K425" s="6">
        <f t="shared" si="22"/>
        <v>500.7</v>
      </c>
    </row>
    <row r="426" spans="1:11" s="26" customFormat="1" ht="31.2" x14ac:dyDescent="0.25">
      <c r="A426" s="107"/>
      <c r="B426" s="40" t="s">
        <v>91</v>
      </c>
      <c r="C426" s="2">
        <v>910</v>
      </c>
      <c r="D426" s="37" t="s">
        <v>6</v>
      </c>
      <c r="E426" s="37" t="s">
        <v>70</v>
      </c>
      <c r="F426" s="37" t="s">
        <v>8</v>
      </c>
      <c r="G426" s="37" t="s">
        <v>90</v>
      </c>
      <c r="H426" s="37" t="s">
        <v>4</v>
      </c>
      <c r="I426" s="37"/>
      <c r="J426" s="37"/>
      <c r="K426" s="6">
        <f t="shared" si="22"/>
        <v>500.7</v>
      </c>
    </row>
    <row r="427" spans="1:11" s="26" customFormat="1" ht="31.2" x14ac:dyDescent="0.25">
      <c r="A427" s="107"/>
      <c r="B427" s="44" t="s">
        <v>241</v>
      </c>
      <c r="C427" s="2">
        <v>910</v>
      </c>
      <c r="D427" s="37" t="s">
        <v>6</v>
      </c>
      <c r="E427" s="37" t="s">
        <v>70</v>
      </c>
      <c r="F427" s="37" t="s">
        <v>8</v>
      </c>
      <c r="G427" s="37" t="s">
        <v>90</v>
      </c>
      <c r="H427" s="37" t="s">
        <v>4</v>
      </c>
      <c r="I427" s="37" t="s">
        <v>240</v>
      </c>
      <c r="J427" s="37"/>
      <c r="K427" s="6">
        <f t="shared" si="22"/>
        <v>500.7</v>
      </c>
    </row>
    <row r="428" spans="1:11" s="26" customFormat="1" ht="31.2" x14ac:dyDescent="0.25">
      <c r="A428" s="107"/>
      <c r="B428" s="1" t="s">
        <v>123</v>
      </c>
      <c r="C428" s="2">
        <v>910</v>
      </c>
      <c r="D428" s="37" t="s">
        <v>6</v>
      </c>
      <c r="E428" s="37" t="s">
        <v>70</v>
      </c>
      <c r="F428" s="37" t="s">
        <v>8</v>
      </c>
      <c r="G428" s="37" t="s">
        <v>90</v>
      </c>
      <c r="H428" s="37" t="s">
        <v>4</v>
      </c>
      <c r="I428" s="37" t="s">
        <v>240</v>
      </c>
      <c r="J428" s="37" t="s">
        <v>49</v>
      </c>
      <c r="K428" s="6">
        <v>500.7</v>
      </c>
    </row>
    <row r="429" spans="1:11" s="26" customFormat="1" x14ac:dyDescent="0.25">
      <c r="A429" s="107"/>
      <c r="B429" s="1" t="s">
        <v>18</v>
      </c>
      <c r="C429" s="2">
        <v>910</v>
      </c>
      <c r="D429" s="39" t="s">
        <v>8</v>
      </c>
      <c r="E429" s="39"/>
      <c r="F429" s="37"/>
      <c r="G429" s="37"/>
      <c r="H429" s="37"/>
      <c r="I429" s="37"/>
      <c r="J429" s="39"/>
      <c r="K429" s="6">
        <f t="shared" ref="K429:K434" si="23">SUM(K430)</f>
        <v>61.5</v>
      </c>
    </row>
    <row r="430" spans="1:11" s="26" customFormat="1" ht="19.5" customHeight="1" x14ac:dyDescent="0.25">
      <c r="A430" s="107"/>
      <c r="B430" s="1" t="s">
        <v>235</v>
      </c>
      <c r="C430" s="2">
        <v>910</v>
      </c>
      <c r="D430" s="39" t="s">
        <v>8</v>
      </c>
      <c r="E430" s="39" t="s">
        <v>7</v>
      </c>
      <c r="F430" s="37"/>
      <c r="G430" s="37"/>
      <c r="H430" s="37"/>
      <c r="I430" s="37"/>
      <c r="J430" s="39"/>
      <c r="K430" s="6">
        <f t="shared" si="23"/>
        <v>61.5</v>
      </c>
    </row>
    <row r="431" spans="1:11" s="26" customFormat="1" ht="31.2" x14ac:dyDescent="0.25">
      <c r="A431" s="107"/>
      <c r="B431" s="1" t="s">
        <v>334</v>
      </c>
      <c r="C431" s="2">
        <v>910</v>
      </c>
      <c r="D431" s="39" t="s">
        <v>8</v>
      </c>
      <c r="E431" s="39" t="s">
        <v>7</v>
      </c>
      <c r="F431" s="37" t="s">
        <v>8</v>
      </c>
      <c r="G431" s="37"/>
      <c r="H431" s="37"/>
      <c r="I431" s="37"/>
      <c r="J431" s="39"/>
      <c r="K431" s="6">
        <f t="shared" si="23"/>
        <v>61.5</v>
      </c>
    </row>
    <row r="432" spans="1:11" s="26" customFormat="1" ht="31.2" x14ac:dyDescent="0.25">
      <c r="A432" s="107"/>
      <c r="B432" s="1" t="s">
        <v>335</v>
      </c>
      <c r="C432" s="2">
        <v>910</v>
      </c>
      <c r="D432" s="39" t="s">
        <v>8</v>
      </c>
      <c r="E432" s="39" t="s">
        <v>7</v>
      </c>
      <c r="F432" s="37" t="s">
        <v>8</v>
      </c>
      <c r="G432" s="37" t="s">
        <v>90</v>
      </c>
      <c r="H432" s="37"/>
      <c r="I432" s="37"/>
      <c r="J432" s="39"/>
      <c r="K432" s="6">
        <f t="shared" si="23"/>
        <v>61.5</v>
      </c>
    </row>
    <row r="433" spans="1:12" s="26" customFormat="1" ht="31.2" x14ac:dyDescent="0.25">
      <c r="A433" s="107"/>
      <c r="B433" s="1" t="s">
        <v>91</v>
      </c>
      <c r="C433" s="2">
        <v>910</v>
      </c>
      <c r="D433" s="39" t="s">
        <v>8</v>
      </c>
      <c r="E433" s="39" t="s">
        <v>7</v>
      </c>
      <c r="F433" s="37" t="s">
        <v>8</v>
      </c>
      <c r="G433" s="37" t="s">
        <v>90</v>
      </c>
      <c r="H433" s="37" t="s">
        <v>4</v>
      </c>
      <c r="I433" s="37"/>
      <c r="J433" s="39"/>
      <c r="K433" s="6">
        <f t="shared" si="23"/>
        <v>61.5</v>
      </c>
    </row>
    <row r="434" spans="1:12" s="26" customFormat="1" x14ac:dyDescent="0.25">
      <c r="A434" s="107"/>
      <c r="B434" s="1" t="s">
        <v>237</v>
      </c>
      <c r="C434" s="2">
        <v>910</v>
      </c>
      <c r="D434" s="39" t="s">
        <v>8</v>
      </c>
      <c r="E434" s="39" t="s">
        <v>7</v>
      </c>
      <c r="F434" s="37" t="s">
        <v>8</v>
      </c>
      <c r="G434" s="37" t="s">
        <v>90</v>
      </c>
      <c r="H434" s="37" t="s">
        <v>4</v>
      </c>
      <c r="I434" s="37" t="s">
        <v>236</v>
      </c>
      <c r="J434" s="39"/>
      <c r="K434" s="6">
        <f t="shared" si="23"/>
        <v>61.5</v>
      </c>
    </row>
    <row r="435" spans="1:12" s="26" customFormat="1" ht="31.2" x14ac:dyDescent="0.25">
      <c r="A435" s="108"/>
      <c r="B435" s="1" t="s">
        <v>123</v>
      </c>
      <c r="C435" s="2">
        <v>910</v>
      </c>
      <c r="D435" s="39" t="s">
        <v>8</v>
      </c>
      <c r="E435" s="39" t="s">
        <v>7</v>
      </c>
      <c r="F435" s="37" t="s">
        <v>8</v>
      </c>
      <c r="G435" s="37" t="s">
        <v>90</v>
      </c>
      <c r="H435" s="37" t="s">
        <v>4</v>
      </c>
      <c r="I435" s="37" t="s">
        <v>236</v>
      </c>
      <c r="J435" s="39" t="s">
        <v>49</v>
      </c>
      <c r="K435" s="6">
        <v>61.5</v>
      </c>
    </row>
    <row r="436" spans="1:12" s="26" customFormat="1" ht="31.2" x14ac:dyDescent="0.25">
      <c r="A436" s="106">
        <v>5</v>
      </c>
      <c r="B436" s="1" t="s">
        <v>377</v>
      </c>
      <c r="C436" s="38">
        <v>918</v>
      </c>
      <c r="D436" s="37"/>
      <c r="E436" s="37"/>
      <c r="F436" s="37"/>
      <c r="G436" s="38"/>
      <c r="H436" s="37"/>
      <c r="I436" s="37"/>
      <c r="J436" s="37"/>
      <c r="K436" s="6">
        <f>K444+K499+K470+K518+K437</f>
        <v>577552.87</v>
      </c>
    </row>
    <row r="437" spans="1:12" s="26" customFormat="1" x14ac:dyDescent="0.25">
      <c r="A437" s="107"/>
      <c r="B437" s="1" t="s">
        <v>1</v>
      </c>
      <c r="C437" s="38">
        <v>918</v>
      </c>
      <c r="D437" s="37" t="s">
        <v>2</v>
      </c>
      <c r="E437" s="37"/>
      <c r="F437" s="37"/>
      <c r="G437" s="38"/>
      <c r="H437" s="37"/>
      <c r="I437" s="37"/>
      <c r="J437" s="37"/>
      <c r="K437" s="6">
        <f t="shared" ref="K437:K442" si="24">K438</f>
        <v>1000.9</v>
      </c>
      <c r="L437" s="26" t="s">
        <v>646</v>
      </c>
    </row>
    <row r="438" spans="1:12" s="26" customFormat="1" x14ac:dyDescent="0.25">
      <c r="A438" s="107"/>
      <c r="B438" s="1" t="s">
        <v>9</v>
      </c>
      <c r="C438" s="38">
        <v>918</v>
      </c>
      <c r="D438" s="37" t="s">
        <v>2</v>
      </c>
      <c r="E438" s="37" t="s">
        <v>40</v>
      </c>
      <c r="F438" s="37"/>
      <c r="G438" s="38"/>
      <c r="H438" s="37"/>
      <c r="I438" s="37"/>
      <c r="J438" s="37"/>
      <c r="K438" s="6">
        <f t="shared" si="24"/>
        <v>1000.9</v>
      </c>
    </row>
    <row r="439" spans="1:12" s="26" customFormat="1" ht="21" customHeight="1" x14ac:dyDescent="0.25">
      <c r="A439" s="107"/>
      <c r="B439" s="40" t="s">
        <v>166</v>
      </c>
      <c r="C439" s="38">
        <v>918</v>
      </c>
      <c r="D439" s="37" t="s">
        <v>2</v>
      </c>
      <c r="E439" s="37" t="s">
        <v>40</v>
      </c>
      <c r="F439" s="37" t="s">
        <v>92</v>
      </c>
      <c r="G439" s="38"/>
      <c r="H439" s="37"/>
      <c r="I439" s="37"/>
      <c r="J439" s="37"/>
      <c r="K439" s="6">
        <f t="shared" si="24"/>
        <v>1000.9</v>
      </c>
    </row>
    <row r="440" spans="1:12" s="26" customFormat="1" ht="46.8" x14ac:dyDescent="0.25">
      <c r="A440" s="107"/>
      <c r="B440" s="40" t="s">
        <v>375</v>
      </c>
      <c r="C440" s="38">
        <v>918</v>
      </c>
      <c r="D440" s="37" t="s">
        <v>2</v>
      </c>
      <c r="E440" s="37" t="s">
        <v>40</v>
      </c>
      <c r="F440" s="37" t="s">
        <v>92</v>
      </c>
      <c r="G440" s="38">
        <v>1</v>
      </c>
      <c r="H440" s="37"/>
      <c r="I440" s="37"/>
      <c r="J440" s="37"/>
      <c r="K440" s="6">
        <f t="shared" si="24"/>
        <v>1000.9</v>
      </c>
    </row>
    <row r="441" spans="1:12" s="26" customFormat="1" ht="31.2" x14ac:dyDescent="0.25">
      <c r="A441" s="107"/>
      <c r="B441" s="1" t="s">
        <v>374</v>
      </c>
      <c r="C441" s="38">
        <v>918</v>
      </c>
      <c r="D441" s="37" t="s">
        <v>2</v>
      </c>
      <c r="E441" s="37" t="s">
        <v>40</v>
      </c>
      <c r="F441" s="37" t="s">
        <v>92</v>
      </c>
      <c r="G441" s="38">
        <v>1</v>
      </c>
      <c r="H441" s="37" t="s">
        <v>5</v>
      </c>
      <c r="I441" s="37"/>
      <c r="J441" s="37"/>
      <c r="K441" s="6">
        <f t="shared" si="24"/>
        <v>1000.9</v>
      </c>
    </row>
    <row r="442" spans="1:12" s="26" customFormat="1" ht="31.2" x14ac:dyDescent="0.25">
      <c r="A442" s="107"/>
      <c r="B442" s="1" t="s">
        <v>167</v>
      </c>
      <c r="C442" s="38">
        <v>918</v>
      </c>
      <c r="D442" s="37" t="s">
        <v>2</v>
      </c>
      <c r="E442" s="37" t="s">
        <v>40</v>
      </c>
      <c r="F442" s="37" t="s">
        <v>92</v>
      </c>
      <c r="G442" s="38">
        <v>1</v>
      </c>
      <c r="H442" s="37" t="s">
        <v>5</v>
      </c>
      <c r="I442" s="37" t="s">
        <v>149</v>
      </c>
      <c r="J442" s="37"/>
      <c r="K442" s="6">
        <f t="shared" si="24"/>
        <v>1000.9</v>
      </c>
    </row>
    <row r="443" spans="1:12" s="26" customFormat="1" ht="31.2" x14ac:dyDescent="0.25">
      <c r="A443" s="107"/>
      <c r="B443" s="1" t="s">
        <v>123</v>
      </c>
      <c r="C443" s="38">
        <v>918</v>
      </c>
      <c r="D443" s="37" t="s">
        <v>2</v>
      </c>
      <c r="E443" s="37" t="s">
        <v>40</v>
      </c>
      <c r="F443" s="37" t="s">
        <v>92</v>
      </c>
      <c r="G443" s="38">
        <v>1</v>
      </c>
      <c r="H443" s="37" t="s">
        <v>5</v>
      </c>
      <c r="I443" s="37" t="s">
        <v>149</v>
      </c>
      <c r="J443" s="37" t="s">
        <v>49</v>
      </c>
      <c r="K443" s="6">
        <v>1000.9</v>
      </c>
    </row>
    <row r="444" spans="1:12" s="26" customFormat="1" x14ac:dyDescent="0.25">
      <c r="A444" s="107"/>
      <c r="B444" s="1" t="s">
        <v>15</v>
      </c>
      <c r="C444" s="38">
        <v>918</v>
      </c>
      <c r="D444" s="37" t="s">
        <v>6</v>
      </c>
      <c r="E444" s="37"/>
      <c r="F444" s="37"/>
      <c r="G444" s="38"/>
      <c r="H444" s="37"/>
      <c r="I444" s="37"/>
      <c r="J444" s="37"/>
      <c r="K444" s="6">
        <f>SUM(K445+K453)</f>
        <v>34337</v>
      </c>
    </row>
    <row r="445" spans="1:12" s="26" customFormat="1" x14ac:dyDescent="0.25">
      <c r="A445" s="107"/>
      <c r="B445" s="1" t="s">
        <v>69</v>
      </c>
      <c r="C445" s="38">
        <v>918</v>
      </c>
      <c r="D445" s="37" t="s">
        <v>6</v>
      </c>
      <c r="E445" s="37" t="s">
        <v>30</v>
      </c>
      <c r="F445" s="37"/>
      <c r="G445" s="38"/>
      <c r="H445" s="37"/>
      <c r="I445" s="37"/>
      <c r="J445" s="37"/>
      <c r="K445" s="6">
        <f>SUM(K446)</f>
        <v>0</v>
      </c>
    </row>
    <row r="446" spans="1:12" s="26" customFormat="1" x14ac:dyDescent="0.25">
      <c r="A446" s="107"/>
      <c r="B446" s="1" t="s">
        <v>360</v>
      </c>
      <c r="C446" s="38">
        <v>918</v>
      </c>
      <c r="D446" s="37" t="s">
        <v>6</v>
      </c>
      <c r="E446" s="37" t="s">
        <v>30</v>
      </c>
      <c r="F446" s="37" t="s">
        <v>4</v>
      </c>
      <c r="G446" s="38"/>
      <c r="H446" s="37"/>
      <c r="I446" s="37"/>
      <c r="J446" s="37"/>
      <c r="K446" s="6">
        <f>SUM(K447)</f>
        <v>0</v>
      </c>
    </row>
    <row r="447" spans="1:12" s="26" customFormat="1" ht="51" customHeight="1" x14ac:dyDescent="0.25">
      <c r="A447" s="107"/>
      <c r="B447" s="1" t="s">
        <v>500</v>
      </c>
      <c r="C447" s="38">
        <v>918</v>
      </c>
      <c r="D447" s="37" t="s">
        <v>6</v>
      </c>
      <c r="E447" s="37" t="s">
        <v>30</v>
      </c>
      <c r="F447" s="37" t="s">
        <v>4</v>
      </c>
      <c r="G447" s="38">
        <v>1</v>
      </c>
      <c r="H447" s="37"/>
      <c r="I447" s="37"/>
      <c r="J447" s="37"/>
      <c r="K447" s="6">
        <f>SUM(K448)</f>
        <v>0</v>
      </c>
    </row>
    <row r="448" spans="1:12" s="26" customFormat="1" ht="31.2" x14ac:dyDescent="0.25">
      <c r="A448" s="107"/>
      <c r="B448" s="40" t="s">
        <v>501</v>
      </c>
      <c r="C448" s="38">
        <v>918</v>
      </c>
      <c r="D448" s="37" t="s">
        <v>6</v>
      </c>
      <c r="E448" s="37" t="s">
        <v>30</v>
      </c>
      <c r="F448" s="37" t="s">
        <v>4</v>
      </c>
      <c r="G448" s="38">
        <v>1</v>
      </c>
      <c r="H448" s="37" t="s">
        <v>2</v>
      </c>
      <c r="I448" s="37"/>
      <c r="J448" s="37"/>
      <c r="K448" s="6">
        <f>SUM(K449+K451)</f>
        <v>0</v>
      </c>
    </row>
    <row r="449" spans="1:13" s="26" customFormat="1" ht="80.25" customHeight="1" x14ac:dyDescent="0.25">
      <c r="A449" s="107"/>
      <c r="B449" s="40" t="s">
        <v>421</v>
      </c>
      <c r="C449" s="38">
        <v>918</v>
      </c>
      <c r="D449" s="37" t="s">
        <v>6</v>
      </c>
      <c r="E449" s="37" t="s">
        <v>30</v>
      </c>
      <c r="F449" s="37" t="s">
        <v>4</v>
      </c>
      <c r="G449" s="38">
        <v>1</v>
      </c>
      <c r="H449" s="37" t="s">
        <v>2</v>
      </c>
      <c r="I449" s="37" t="s">
        <v>223</v>
      </c>
      <c r="J449" s="37"/>
      <c r="K449" s="6">
        <f>SUM(K450)</f>
        <v>0</v>
      </c>
    </row>
    <row r="450" spans="1:13" s="26" customFormat="1" ht="31.2" x14ac:dyDescent="0.25">
      <c r="A450" s="107"/>
      <c r="B450" s="40" t="s">
        <v>75</v>
      </c>
      <c r="C450" s="38">
        <v>918</v>
      </c>
      <c r="D450" s="37" t="s">
        <v>6</v>
      </c>
      <c r="E450" s="37" t="s">
        <v>30</v>
      </c>
      <c r="F450" s="37" t="s">
        <v>4</v>
      </c>
      <c r="G450" s="38">
        <v>1</v>
      </c>
      <c r="H450" s="37" t="s">
        <v>2</v>
      </c>
      <c r="I450" s="37" t="s">
        <v>223</v>
      </c>
      <c r="J450" s="37" t="s">
        <v>54</v>
      </c>
      <c r="K450" s="6"/>
    </row>
    <row r="451" spans="1:13" s="26" customFormat="1" ht="93.6" x14ac:dyDescent="0.25">
      <c r="A451" s="107"/>
      <c r="B451" s="40" t="s">
        <v>484</v>
      </c>
      <c r="C451" s="38">
        <v>918</v>
      </c>
      <c r="D451" s="37" t="s">
        <v>6</v>
      </c>
      <c r="E451" s="37" t="s">
        <v>30</v>
      </c>
      <c r="F451" s="37" t="s">
        <v>4</v>
      </c>
      <c r="G451" s="38">
        <v>1</v>
      </c>
      <c r="H451" s="37" t="s">
        <v>2</v>
      </c>
      <c r="I451" s="37" t="s">
        <v>294</v>
      </c>
      <c r="J451" s="37"/>
      <c r="K451" s="6">
        <f>SUM(K452)</f>
        <v>0</v>
      </c>
    </row>
    <row r="452" spans="1:13" s="26" customFormat="1" ht="31.2" x14ac:dyDescent="0.25">
      <c r="A452" s="107"/>
      <c r="B452" s="40" t="s">
        <v>75</v>
      </c>
      <c r="C452" s="38">
        <v>918</v>
      </c>
      <c r="D452" s="37" t="s">
        <v>6</v>
      </c>
      <c r="E452" s="37" t="s">
        <v>30</v>
      </c>
      <c r="F452" s="37" t="s">
        <v>4</v>
      </c>
      <c r="G452" s="38">
        <v>1</v>
      </c>
      <c r="H452" s="37" t="s">
        <v>2</v>
      </c>
      <c r="I452" s="37" t="s">
        <v>294</v>
      </c>
      <c r="J452" s="37" t="s">
        <v>54</v>
      </c>
      <c r="K452" s="6">
        <f>3634.5-3634.5</f>
        <v>0</v>
      </c>
    </row>
    <row r="453" spans="1:13" s="26" customFormat="1" x14ac:dyDescent="0.25">
      <c r="A453" s="107"/>
      <c r="B453" s="1" t="s">
        <v>69</v>
      </c>
      <c r="C453" s="38">
        <v>918</v>
      </c>
      <c r="D453" s="37" t="s">
        <v>6</v>
      </c>
      <c r="E453" s="37" t="s">
        <v>70</v>
      </c>
      <c r="F453" s="37"/>
      <c r="G453" s="38"/>
      <c r="H453" s="37"/>
      <c r="I453" s="37"/>
      <c r="J453" s="37"/>
      <c r="K453" s="6">
        <f>SUM(K454)</f>
        <v>34337</v>
      </c>
    </row>
    <row r="454" spans="1:13" s="26" customFormat="1" x14ac:dyDescent="0.25">
      <c r="A454" s="107"/>
      <c r="B454" s="1" t="s">
        <v>360</v>
      </c>
      <c r="C454" s="38">
        <v>918</v>
      </c>
      <c r="D454" s="37" t="s">
        <v>6</v>
      </c>
      <c r="E454" s="37" t="s">
        <v>70</v>
      </c>
      <c r="F454" s="37" t="s">
        <v>4</v>
      </c>
      <c r="G454" s="38"/>
      <c r="H454" s="37"/>
      <c r="I454" s="37"/>
      <c r="J454" s="37"/>
      <c r="K454" s="6">
        <f>SUM(K455)</f>
        <v>34337</v>
      </c>
    </row>
    <row r="455" spans="1:13" s="26" customFormat="1" ht="62.4" x14ac:dyDescent="0.25">
      <c r="A455" s="107"/>
      <c r="B455" s="1" t="s">
        <v>500</v>
      </c>
      <c r="C455" s="38">
        <v>918</v>
      </c>
      <c r="D455" s="37" t="s">
        <v>6</v>
      </c>
      <c r="E455" s="37" t="s">
        <v>70</v>
      </c>
      <c r="F455" s="37" t="s">
        <v>4</v>
      </c>
      <c r="G455" s="38">
        <v>1</v>
      </c>
      <c r="H455" s="37"/>
      <c r="I455" s="37"/>
      <c r="J455" s="37"/>
      <c r="K455" s="6">
        <f>SUM(K456+K463)</f>
        <v>34337</v>
      </c>
    </row>
    <row r="456" spans="1:13" s="26" customFormat="1" ht="31.2" x14ac:dyDescent="0.25">
      <c r="A456" s="107"/>
      <c r="B456" s="40" t="s">
        <v>501</v>
      </c>
      <c r="C456" s="38">
        <v>918</v>
      </c>
      <c r="D456" s="37" t="s">
        <v>6</v>
      </c>
      <c r="E456" s="37" t="s">
        <v>70</v>
      </c>
      <c r="F456" s="37" t="s">
        <v>4</v>
      </c>
      <c r="G456" s="38">
        <v>1</v>
      </c>
      <c r="H456" s="37" t="s">
        <v>2</v>
      </c>
      <c r="I456" s="37"/>
      <c r="J456" s="37"/>
      <c r="K456" s="6">
        <f>SUM(K457+K461)</f>
        <v>25937.8</v>
      </c>
    </row>
    <row r="457" spans="1:13" s="26" customFormat="1" ht="46.8" x14ac:dyDescent="0.25">
      <c r="A457" s="107"/>
      <c r="B457" s="1" t="s">
        <v>66</v>
      </c>
      <c r="C457" s="38">
        <v>918</v>
      </c>
      <c r="D457" s="37" t="s">
        <v>6</v>
      </c>
      <c r="E457" s="37" t="s">
        <v>70</v>
      </c>
      <c r="F457" s="37" t="s">
        <v>4</v>
      </c>
      <c r="G457" s="38">
        <v>1</v>
      </c>
      <c r="H457" s="37" t="s">
        <v>2</v>
      </c>
      <c r="I457" s="37" t="s">
        <v>85</v>
      </c>
      <c r="J457" s="37"/>
      <c r="K457" s="6">
        <f>SUM(K458:K460)</f>
        <v>25937.8</v>
      </c>
      <c r="L457" s="45"/>
      <c r="M457" s="45"/>
    </row>
    <row r="458" spans="1:13" s="26" customFormat="1" ht="48.75" customHeight="1" x14ac:dyDescent="0.25">
      <c r="A458" s="107"/>
      <c r="B458" s="1" t="s">
        <v>122</v>
      </c>
      <c r="C458" s="38">
        <v>918</v>
      </c>
      <c r="D458" s="37" t="s">
        <v>6</v>
      </c>
      <c r="E458" s="37" t="s">
        <v>70</v>
      </c>
      <c r="F458" s="37" t="s">
        <v>4</v>
      </c>
      <c r="G458" s="38">
        <v>1</v>
      </c>
      <c r="H458" s="37" t="s">
        <v>2</v>
      </c>
      <c r="I458" s="37" t="s">
        <v>85</v>
      </c>
      <c r="J458" s="37" t="s">
        <v>48</v>
      </c>
      <c r="K458" s="6">
        <f>17688.9+3821-3821+3456.2+3821.1</f>
        <v>24966.2</v>
      </c>
      <c r="L458" s="51"/>
      <c r="M458" s="45"/>
    </row>
    <row r="459" spans="1:13" s="26" customFormat="1" ht="31.2" x14ac:dyDescent="0.25">
      <c r="A459" s="107"/>
      <c r="B459" s="1" t="s">
        <v>123</v>
      </c>
      <c r="C459" s="38">
        <v>918</v>
      </c>
      <c r="D459" s="37" t="s">
        <v>6</v>
      </c>
      <c r="E459" s="37" t="s">
        <v>70</v>
      </c>
      <c r="F459" s="37" t="s">
        <v>4</v>
      </c>
      <c r="G459" s="38">
        <v>1</v>
      </c>
      <c r="H459" s="37" t="s">
        <v>2</v>
      </c>
      <c r="I459" s="37" t="s">
        <v>85</v>
      </c>
      <c r="J459" s="37" t="s">
        <v>49</v>
      </c>
      <c r="K459" s="6">
        <f>4609.9+0.7-3821+3821-3821.1+0.1</f>
        <v>789.59999999999957</v>
      </c>
      <c r="L459" s="51"/>
      <c r="M459" s="45"/>
    </row>
    <row r="460" spans="1:13" s="26" customFormat="1" x14ac:dyDescent="0.25">
      <c r="A460" s="107"/>
      <c r="B460" s="1" t="s">
        <v>50</v>
      </c>
      <c r="C460" s="38">
        <v>918</v>
      </c>
      <c r="D460" s="37" t="s">
        <v>6</v>
      </c>
      <c r="E460" s="37" t="s">
        <v>70</v>
      </c>
      <c r="F460" s="37" t="s">
        <v>4</v>
      </c>
      <c r="G460" s="38">
        <v>1</v>
      </c>
      <c r="H460" s="37" t="s">
        <v>2</v>
      </c>
      <c r="I460" s="37" t="s">
        <v>85</v>
      </c>
      <c r="J460" s="37" t="s">
        <v>51</v>
      </c>
      <c r="K460" s="6">
        <v>182</v>
      </c>
      <c r="L460" s="51"/>
      <c r="M460" s="45"/>
    </row>
    <row r="461" spans="1:13" s="26" customFormat="1" ht="31.2" x14ac:dyDescent="0.25">
      <c r="A461" s="107"/>
      <c r="B461" s="40" t="s">
        <v>333</v>
      </c>
      <c r="C461" s="38">
        <v>918</v>
      </c>
      <c r="D461" s="37" t="s">
        <v>6</v>
      </c>
      <c r="E461" s="37" t="s">
        <v>70</v>
      </c>
      <c r="F461" s="37" t="s">
        <v>4</v>
      </c>
      <c r="G461" s="37" t="s">
        <v>90</v>
      </c>
      <c r="H461" s="37" t="s">
        <v>2</v>
      </c>
      <c r="I461" s="37" t="s">
        <v>193</v>
      </c>
      <c r="J461" s="39"/>
      <c r="K461" s="6">
        <f>K462</f>
        <v>0</v>
      </c>
      <c r="L461" s="45"/>
      <c r="M461" s="45"/>
    </row>
    <row r="462" spans="1:13" s="26" customFormat="1" ht="31.2" x14ac:dyDescent="0.25">
      <c r="A462" s="107"/>
      <c r="B462" s="40" t="s">
        <v>123</v>
      </c>
      <c r="C462" s="38">
        <v>918</v>
      </c>
      <c r="D462" s="37" t="s">
        <v>6</v>
      </c>
      <c r="E462" s="37" t="s">
        <v>70</v>
      </c>
      <c r="F462" s="37" t="s">
        <v>4</v>
      </c>
      <c r="G462" s="37" t="s">
        <v>90</v>
      </c>
      <c r="H462" s="37" t="s">
        <v>2</v>
      </c>
      <c r="I462" s="37" t="s">
        <v>193</v>
      </c>
      <c r="J462" s="39" t="s">
        <v>49</v>
      </c>
      <c r="K462" s="6"/>
      <c r="L462" s="45"/>
      <c r="M462" s="45"/>
    </row>
    <row r="463" spans="1:13" s="26" customFormat="1" ht="49.5" customHeight="1" x14ac:dyDescent="0.25">
      <c r="A463" s="107"/>
      <c r="B463" s="1" t="s">
        <v>502</v>
      </c>
      <c r="C463" s="38">
        <v>918</v>
      </c>
      <c r="D463" s="37" t="s">
        <v>6</v>
      </c>
      <c r="E463" s="37" t="s">
        <v>70</v>
      </c>
      <c r="F463" s="37" t="s">
        <v>4</v>
      </c>
      <c r="G463" s="38">
        <v>1</v>
      </c>
      <c r="H463" s="37" t="s">
        <v>4</v>
      </c>
      <c r="I463" s="37"/>
      <c r="J463" s="37"/>
      <c r="K463" s="6">
        <f>SUM(K464+K468)</f>
        <v>8399.1999999999989</v>
      </c>
      <c r="L463" s="45"/>
      <c r="M463" s="45"/>
    </row>
    <row r="464" spans="1:13" s="26" customFormat="1" x14ac:dyDescent="0.25">
      <c r="A464" s="107"/>
      <c r="B464" s="1" t="s">
        <v>47</v>
      </c>
      <c r="C464" s="38">
        <v>918</v>
      </c>
      <c r="D464" s="37" t="s">
        <v>6</v>
      </c>
      <c r="E464" s="37" t="s">
        <v>70</v>
      </c>
      <c r="F464" s="37" t="s">
        <v>4</v>
      </c>
      <c r="G464" s="38">
        <v>1</v>
      </c>
      <c r="H464" s="37" t="s">
        <v>4</v>
      </c>
      <c r="I464" s="37" t="s">
        <v>78</v>
      </c>
      <c r="J464" s="37"/>
      <c r="K464" s="6">
        <f>SUM(K465:K467)</f>
        <v>8376.4</v>
      </c>
      <c r="L464" s="45"/>
      <c r="M464" s="45"/>
    </row>
    <row r="465" spans="1:13" s="26" customFormat="1" ht="49.5" customHeight="1" x14ac:dyDescent="0.25">
      <c r="A465" s="107"/>
      <c r="B465" s="1" t="s">
        <v>122</v>
      </c>
      <c r="C465" s="38">
        <v>918</v>
      </c>
      <c r="D465" s="37" t="s">
        <v>6</v>
      </c>
      <c r="E465" s="37" t="s">
        <v>70</v>
      </c>
      <c r="F465" s="37" t="s">
        <v>4</v>
      </c>
      <c r="G465" s="38">
        <v>1</v>
      </c>
      <c r="H465" s="37" t="s">
        <v>4</v>
      </c>
      <c r="I465" s="37" t="s">
        <v>78</v>
      </c>
      <c r="J465" s="37" t="s">
        <v>48</v>
      </c>
      <c r="K465" s="6">
        <v>8309.9</v>
      </c>
      <c r="L465" s="51"/>
      <c r="M465" s="45"/>
    </row>
    <row r="466" spans="1:13" s="26" customFormat="1" ht="31.2" x14ac:dyDescent="0.25">
      <c r="A466" s="107"/>
      <c r="B466" s="1" t="s">
        <v>123</v>
      </c>
      <c r="C466" s="38">
        <v>918</v>
      </c>
      <c r="D466" s="37" t="s">
        <v>6</v>
      </c>
      <c r="E466" s="37" t="s">
        <v>70</v>
      </c>
      <c r="F466" s="37" t="s">
        <v>4</v>
      </c>
      <c r="G466" s="38">
        <v>1</v>
      </c>
      <c r="H466" s="37" t="s">
        <v>4</v>
      </c>
      <c r="I466" s="37" t="s">
        <v>78</v>
      </c>
      <c r="J466" s="37" t="s">
        <v>49</v>
      </c>
      <c r="K466" s="6">
        <f>62.7+1.7</f>
        <v>64.400000000000006</v>
      </c>
      <c r="L466" s="51"/>
      <c r="M466" s="45"/>
    </row>
    <row r="467" spans="1:13" s="26" customFormat="1" x14ac:dyDescent="0.25">
      <c r="A467" s="107"/>
      <c r="B467" s="1" t="s">
        <v>50</v>
      </c>
      <c r="C467" s="38">
        <v>918</v>
      </c>
      <c r="D467" s="37" t="s">
        <v>6</v>
      </c>
      <c r="E467" s="37" t="s">
        <v>70</v>
      </c>
      <c r="F467" s="37" t="s">
        <v>4</v>
      </c>
      <c r="G467" s="38">
        <v>1</v>
      </c>
      <c r="H467" s="37" t="s">
        <v>4</v>
      </c>
      <c r="I467" s="37" t="s">
        <v>78</v>
      </c>
      <c r="J467" s="37" t="s">
        <v>51</v>
      </c>
      <c r="K467" s="6">
        <v>2.1</v>
      </c>
      <c r="L467" s="51"/>
      <c r="M467" s="45"/>
    </row>
    <row r="468" spans="1:13" s="26" customFormat="1" x14ac:dyDescent="0.25">
      <c r="A468" s="107"/>
      <c r="B468" s="1" t="s">
        <v>234</v>
      </c>
      <c r="C468" s="2">
        <v>918</v>
      </c>
      <c r="D468" s="37" t="s">
        <v>6</v>
      </c>
      <c r="E468" s="37" t="s">
        <v>70</v>
      </c>
      <c r="F468" s="37" t="s">
        <v>4</v>
      </c>
      <c r="G468" s="38">
        <v>1</v>
      </c>
      <c r="H468" s="37" t="s">
        <v>4</v>
      </c>
      <c r="I468" s="37" t="s">
        <v>233</v>
      </c>
      <c r="J468" s="37"/>
      <c r="K468" s="6">
        <f>SUM(K469)</f>
        <v>22.8</v>
      </c>
      <c r="L468" s="45"/>
      <c r="M468" s="45"/>
    </row>
    <row r="469" spans="1:13" s="26" customFormat="1" ht="31.2" x14ac:dyDescent="0.25">
      <c r="A469" s="107"/>
      <c r="B469" s="1" t="s">
        <v>123</v>
      </c>
      <c r="C469" s="2">
        <v>918</v>
      </c>
      <c r="D469" s="37" t="s">
        <v>6</v>
      </c>
      <c r="E469" s="37" t="s">
        <v>70</v>
      </c>
      <c r="F469" s="37" t="s">
        <v>4</v>
      </c>
      <c r="G469" s="38">
        <v>1</v>
      </c>
      <c r="H469" s="37" t="s">
        <v>4</v>
      </c>
      <c r="I469" s="37" t="s">
        <v>233</v>
      </c>
      <c r="J469" s="37" t="s">
        <v>49</v>
      </c>
      <c r="K469" s="6">
        <v>22.8</v>
      </c>
      <c r="L469" s="45"/>
      <c r="M469" s="45"/>
    </row>
    <row r="470" spans="1:13" s="26" customFormat="1" x14ac:dyDescent="0.25">
      <c r="A470" s="107"/>
      <c r="B470" s="1" t="s">
        <v>41</v>
      </c>
      <c r="C470" s="38">
        <v>918</v>
      </c>
      <c r="D470" s="39" t="s">
        <v>7</v>
      </c>
      <c r="E470" s="37"/>
      <c r="F470" s="37"/>
      <c r="G470" s="38"/>
      <c r="H470" s="37"/>
      <c r="I470" s="37"/>
      <c r="J470" s="37"/>
      <c r="K470" s="6">
        <f>SUM(K471+K486)</f>
        <v>48273.07</v>
      </c>
      <c r="L470" s="45"/>
      <c r="M470" s="45"/>
    </row>
    <row r="471" spans="1:13" s="26" customFormat="1" x14ac:dyDescent="0.25">
      <c r="A471" s="107"/>
      <c r="B471" s="1" t="s">
        <v>261</v>
      </c>
      <c r="C471" s="38">
        <v>918</v>
      </c>
      <c r="D471" s="39" t="s">
        <v>7</v>
      </c>
      <c r="E471" s="37" t="s">
        <v>4</v>
      </c>
      <c r="F471" s="37"/>
      <c r="G471" s="38"/>
      <c r="H471" s="37"/>
      <c r="I471" s="37"/>
      <c r="J471" s="37"/>
      <c r="K471" s="6">
        <f>K472</f>
        <v>43502.07</v>
      </c>
      <c r="L471" s="45"/>
      <c r="M471" s="45"/>
    </row>
    <row r="472" spans="1:13" s="26" customFormat="1" x14ac:dyDescent="0.25">
      <c r="A472" s="107"/>
      <c r="B472" s="40" t="s">
        <v>378</v>
      </c>
      <c r="C472" s="38">
        <v>918</v>
      </c>
      <c r="D472" s="39" t="s">
        <v>7</v>
      </c>
      <c r="E472" s="37" t="s">
        <v>4</v>
      </c>
      <c r="F472" s="37" t="s">
        <v>4</v>
      </c>
      <c r="G472" s="37"/>
      <c r="H472" s="37"/>
      <c r="I472" s="37"/>
      <c r="J472" s="39"/>
      <c r="K472" s="6">
        <f>K473</f>
        <v>43502.07</v>
      </c>
      <c r="L472" s="45"/>
      <c r="M472" s="45"/>
    </row>
    <row r="473" spans="1:13" s="26" customFormat="1" ht="62.4" x14ac:dyDescent="0.25">
      <c r="A473" s="107"/>
      <c r="B473" s="1" t="s">
        <v>500</v>
      </c>
      <c r="C473" s="38">
        <v>918</v>
      </c>
      <c r="D473" s="39" t="s">
        <v>7</v>
      </c>
      <c r="E473" s="37" t="s">
        <v>4</v>
      </c>
      <c r="F473" s="37" t="s">
        <v>4</v>
      </c>
      <c r="G473" s="37" t="s">
        <v>90</v>
      </c>
      <c r="H473" s="37"/>
      <c r="I473" s="37"/>
      <c r="J473" s="39"/>
      <c r="K473" s="6">
        <f>K474</f>
        <v>43502.07</v>
      </c>
      <c r="L473" s="45"/>
      <c r="M473" s="45"/>
    </row>
    <row r="474" spans="1:13" s="26" customFormat="1" ht="31.2" x14ac:dyDescent="0.25">
      <c r="A474" s="107"/>
      <c r="B474" s="40" t="s">
        <v>501</v>
      </c>
      <c r="C474" s="38">
        <v>918</v>
      </c>
      <c r="D474" s="39" t="s">
        <v>7</v>
      </c>
      <c r="E474" s="37" t="s">
        <v>4</v>
      </c>
      <c r="F474" s="37" t="s">
        <v>4</v>
      </c>
      <c r="G474" s="37" t="s">
        <v>90</v>
      </c>
      <c r="H474" s="37" t="s">
        <v>2</v>
      </c>
      <c r="I474" s="37"/>
      <c r="J474" s="39"/>
      <c r="K474" s="6">
        <f>K477+K479+K481+K483+K475</f>
        <v>43502.07</v>
      </c>
    </row>
    <row r="475" spans="1:13" s="26" customFormat="1" x14ac:dyDescent="0.25">
      <c r="A475" s="107"/>
      <c r="B475" s="1" t="s">
        <v>551</v>
      </c>
      <c r="C475" s="38">
        <v>918</v>
      </c>
      <c r="D475" s="39" t="s">
        <v>7</v>
      </c>
      <c r="E475" s="37" t="s">
        <v>4</v>
      </c>
      <c r="F475" s="37" t="s">
        <v>4</v>
      </c>
      <c r="G475" s="37" t="s">
        <v>90</v>
      </c>
      <c r="H475" s="37" t="s">
        <v>2</v>
      </c>
      <c r="I475" s="37" t="s">
        <v>550</v>
      </c>
      <c r="J475" s="39"/>
      <c r="K475" s="6">
        <f>K476</f>
        <v>265.89999999999998</v>
      </c>
    </row>
    <row r="476" spans="1:13" s="26" customFormat="1" ht="31.2" x14ac:dyDescent="0.25">
      <c r="A476" s="107"/>
      <c r="B476" s="1" t="s">
        <v>123</v>
      </c>
      <c r="C476" s="38">
        <v>918</v>
      </c>
      <c r="D476" s="39" t="s">
        <v>7</v>
      </c>
      <c r="E476" s="37" t="s">
        <v>4</v>
      </c>
      <c r="F476" s="37" t="s">
        <v>4</v>
      </c>
      <c r="G476" s="37" t="s">
        <v>90</v>
      </c>
      <c r="H476" s="37" t="s">
        <v>2</v>
      </c>
      <c r="I476" s="37" t="s">
        <v>550</v>
      </c>
      <c r="J476" s="39" t="s">
        <v>49</v>
      </c>
      <c r="K476" s="6">
        <f>179.4+86.5</f>
        <v>265.89999999999998</v>
      </c>
    </row>
    <row r="477" spans="1:13" s="26" customFormat="1" x14ac:dyDescent="0.25">
      <c r="A477" s="107"/>
      <c r="B477" s="1" t="s">
        <v>427</v>
      </c>
      <c r="C477" s="38">
        <v>918</v>
      </c>
      <c r="D477" s="39" t="s">
        <v>7</v>
      </c>
      <c r="E477" s="37" t="s">
        <v>4</v>
      </c>
      <c r="F477" s="37" t="s">
        <v>4</v>
      </c>
      <c r="G477" s="37" t="s">
        <v>90</v>
      </c>
      <c r="H477" s="37" t="s">
        <v>2</v>
      </c>
      <c r="I477" s="37" t="s">
        <v>426</v>
      </c>
      <c r="J477" s="39"/>
      <c r="K477" s="6">
        <f>K478</f>
        <v>0</v>
      </c>
    </row>
    <row r="478" spans="1:13" s="26" customFormat="1" ht="31.2" x14ac:dyDescent="0.25">
      <c r="A478" s="107"/>
      <c r="B478" s="40" t="s">
        <v>75</v>
      </c>
      <c r="C478" s="38">
        <v>918</v>
      </c>
      <c r="D478" s="39" t="s">
        <v>7</v>
      </c>
      <c r="E478" s="37" t="s">
        <v>4</v>
      </c>
      <c r="F478" s="37" t="s">
        <v>4</v>
      </c>
      <c r="G478" s="37" t="s">
        <v>90</v>
      </c>
      <c r="H478" s="37" t="s">
        <v>2</v>
      </c>
      <c r="I478" s="37" t="s">
        <v>426</v>
      </c>
      <c r="J478" s="39" t="s">
        <v>54</v>
      </c>
      <c r="K478" s="6"/>
    </row>
    <row r="479" spans="1:13" s="26" customFormat="1" x14ac:dyDescent="0.25">
      <c r="A479" s="107"/>
      <c r="B479" s="1" t="s">
        <v>422</v>
      </c>
      <c r="C479" s="38">
        <v>918</v>
      </c>
      <c r="D479" s="39" t="s">
        <v>7</v>
      </c>
      <c r="E479" s="37" t="s">
        <v>4</v>
      </c>
      <c r="F479" s="37" t="s">
        <v>4</v>
      </c>
      <c r="G479" s="37" t="s">
        <v>90</v>
      </c>
      <c r="H479" s="37" t="s">
        <v>2</v>
      </c>
      <c r="I479" s="37" t="s">
        <v>423</v>
      </c>
      <c r="J479" s="39"/>
      <c r="K479" s="6">
        <f>K480</f>
        <v>17147.770000000004</v>
      </c>
    </row>
    <row r="480" spans="1:13" s="26" customFormat="1" ht="31.2" x14ac:dyDescent="0.25">
      <c r="A480" s="107"/>
      <c r="B480" s="40" t="s">
        <v>75</v>
      </c>
      <c r="C480" s="38">
        <v>918</v>
      </c>
      <c r="D480" s="39" t="s">
        <v>7</v>
      </c>
      <c r="E480" s="37" t="s">
        <v>4</v>
      </c>
      <c r="F480" s="37" t="s">
        <v>4</v>
      </c>
      <c r="G480" s="37" t="s">
        <v>90</v>
      </c>
      <c r="H480" s="37" t="s">
        <v>2</v>
      </c>
      <c r="I480" s="37" t="s">
        <v>423</v>
      </c>
      <c r="J480" s="39" t="s">
        <v>54</v>
      </c>
      <c r="K480" s="6">
        <f>30000+1914.9-13881.1-886.03</f>
        <v>17147.770000000004</v>
      </c>
    </row>
    <row r="481" spans="1:12" s="26" customFormat="1" ht="31.2" x14ac:dyDescent="0.25">
      <c r="A481" s="107"/>
      <c r="B481" s="1" t="s">
        <v>425</v>
      </c>
      <c r="C481" s="38">
        <v>918</v>
      </c>
      <c r="D481" s="39" t="s">
        <v>7</v>
      </c>
      <c r="E481" s="37" t="s">
        <v>4</v>
      </c>
      <c r="F481" s="37" t="s">
        <v>4</v>
      </c>
      <c r="G481" s="37" t="s">
        <v>90</v>
      </c>
      <c r="H481" s="37" t="s">
        <v>2</v>
      </c>
      <c r="I481" s="37" t="s">
        <v>424</v>
      </c>
      <c r="J481" s="39"/>
      <c r="K481" s="6">
        <f>K482</f>
        <v>26015.7</v>
      </c>
    </row>
    <row r="482" spans="1:12" s="26" customFormat="1" ht="31.2" x14ac:dyDescent="0.25">
      <c r="A482" s="107"/>
      <c r="B482" s="40" t="s">
        <v>75</v>
      </c>
      <c r="C482" s="38">
        <v>918</v>
      </c>
      <c r="D482" s="39" t="s">
        <v>7</v>
      </c>
      <c r="E482" s="37" t="s">
        <v>4</v>
      </c>
      <c r="F482" s="37" t="s">
        <v>4</v>
      </c>
      <c r="G482" s="37" t="s">
        <v>90</v>
      </c>
      <c r="H482" s="37" t="s">
        <v>2</v>
      </c>
      <c r="I482" s="37" t="s">
        <v>424</v>
      </c>
      <c r="J482" s="39" t="s">
        <v>54</v>
      </c>
      <c r="K482" s="6">
        <f>4682.8+21332.9</f>
        <v>26015.7</v>
      </c>
    </row>
    <row r="483" spans="1:12" s="26" customFormat="1" ht="46.8" x14ac:dyDescent="0.25">
      <c r="A483" s="107"/>
      <c r="B483" s="1" t="s">
        <v>486</v>
      </c>
      <c r="C483" s="38">
        <v>918</v>
      </c>
      <c r="D483" s="39" t="s">
        <v>7</v>
      </c>
      <c r="E483" s="37" t="s">
        <v>4</v>
      </c>
      <c r="F483" s="37" t="s">
        <v>4</v>
      </c>
      <c r="G483" s="37" t="s">
        <v>90</v>
      </c>
      <c r="H483" s="37" t="s">
        <v>2</v>
      </c>
      <c r="I483" s="37" t="s">
        <v>485</v>
      </c>
      <c r="J483" s="39"/>
      <c r="K483" s="6">
        <f>K485+K484</f>
        <v>72.7</v>
      </c>
    </row>
    <row r="484" spans="1:12" s="26" customFormat="1" ht="31.2" x14ac:dyDescent="0.25">
      <c r="A484" s="107"/>
      <c r="B484" s="1" t="s">
        <v>123</v>
      </c>
      <c r="C484" s="38">
        <v>918</v>
      </c>
      <c r="D484" s="39" t="s">
        <v>7</v>
      </c>
      <c r="E484" s="37" t="s">
        <v>4</v>
      </c>
      <c r="F484" s="37" t="s">
        <v>4</v>
      </c>
      <c r="G484" s="37" t="s">
        <v>90</v>
      </c>
      <c r="H484" s="37" t="s">
        <v>2</v>
      </c>
      <c r="I484" s="37" t="s">
        <v>485</v>
      </c>
      <c r="J484" s="39" t="s">
        <v>49</v>
      </c>
      <c r="K484" s="6">
        <f>25</f>
        <v>25</v>
      </c>
      <c r="L484" s="26" t="s">
        <v>646</v>
      </c>
    </row>
    <row r="485" spans="1:12" s="26" customFormat="1" ht="31.2" x14ac:dyDescent="0.25">
      <c r="A485" s="107"/>
      <c r="B485" s="40" t="s">
        <v>75</v>
      </c>
      <c r="C485" s="38">
        <v>918</v>
      </c>
      <c r="D485" s="39" t="s">
        <v>7</v>
      </c>
      <c r="E485" s="37" t="s">
        <v>4</v>
      </c>
      <c r="F485" s="37" t="s">
        <v>4</v>
      </c>
      <c r="G485" s="37" t="s">
        <v>90</v>
      </c>
      <c r="H485" s="37" t="s">
        <v>2</v>
      </c>
      <c r="I485" s="37" t="s">
        <v>485</v>
      </c>
      <c r="J485" s="39" t="s">
        <v>54</v>
      </c>
      <c r="K485" s="6">
        <f>47.7</f>
        <v>47.7</v>
      </c>
    </row>
    <row r="486" spans="1:12" s="26" customFormat="1" x14ac:dyDescent="0.25">
      <c r="A486" s="107"/>
      <c r="B486" s="40" t="s">
        <v>474</v>
      </c>
      <c r="C486" s="38">
        <v>918</v>
      </c>
      <c r="D486" s="39" t="s">
        <v>7</v>
      </c>
      <c r="E486" s="37" t="s">
        <v>5</v>
      </c>
      <c r="F486" s="37"/>
      <c r="G486" s="37"/>
      <c r="H486" s="37"/>
      <c r="I486" s="37"/>
      <c r="J486" s="39"/>
      <c r="K486" s="6">
        <f>K492+K487</f>
        <v>4771</v>
      </c>
    </row>
    <row r="487" spans="1:12" s="26" customFormat="1" x14ac:dyDescent="0.25">
      <c r="A487" s="107"/>
      <c r="B487" s="40" t="s">
        <v>378</v>
      </c>
      <c r="C487" s="38">
        <v>918</v>
      </c>
      <c r="D487" s="39" t="s">
        <v>7</v>
      </c>
      <c r="E487" s="37" t="s">
        <v>5</v>
      </c>
      <c r="F487" s="37" t="s">
        <v>4</v>
      </c>
      <c r="G487" s="37"/>
      <c r="H487" s="37"/>
      <c r="I487" s="37"/>
      <c r="J487" s="39"/>
      <c r="K487" s="6">
        <f>K488</f>
        <v>572.20000000000005</v>
      </c>
      <c r="L487" s="26" t="s">
        <v>646</v>
      </c>
    </row>
    <row r="488" spans="1:12" s="26" customFormat="1" ht="62.4" x14ac:dyDescent="0.25">
      <c r="A488" s="107"/>
      <c r="B488" s="1" t="s">
        <v>500</v>
      </c>
      <c r="C488" s="38">
        <v>918</v>
      </c>
      <c r="D488" s="39" t="s">
        <v>7</v>
      </c>
      <c r="E488" s="37" t="s">
        <v>5</v>
      </c>
      <c r="F488" s="37" t="s">
        <v>4</v>
      </c>
      <c r="G488" s="37" t="s">
        <v>90</v>
      </c>
      <c r="H488" s="37"/>
      <c r="I488" s="37"/>
      <c r="J488" s="39"/>
      <c r="K488" s="6">
        <f>K489</f>
        <v>572.20000000000005</v>
      </c>
    </row>
    <row r="489" spans="1:12" s="26" customFormat="1" ht="31.2" x14ac:dyDescent="0.25">
      <c r="A489" s="107"/>
      <c r="B489" s="40" t="s">
        <v>501</v>
      </c>
      <c r="C489" s="38">
        <v>918</v>
      </c>
      <c r="D489" s="39" t="s">
        <v>7</v>
      </c>
      <c r="E489" s="37" t="s">
        <v>5</v>
      </c>
      <c r="F489" s="37" t="s">
        <v>4</v>
      </c>
      <c r="G489" s="37" t="s">
        <v>90</v>
      </c>
      <c r="H489" s="37" t="s">
        <v>2</v>
      </c>
      <c r="I489" s="37"/>
      <c r="J489" s="39"/>
      <c r="K489" s="6">
        <f>K490</f>
        <v>572.20000000000005</v>
      </c>
    </row>
    <row r="490" spans="1:12" s="26" customFormat="1" ht="31.2" x14ac:dyDescent="0.25">
      <c r="A490" s="107"/>
      <c r="B490" s="40" t="s">
        <v>648</v>
      </c>
      <c r="C490" s="38">
        <v>918</v>
      </c>
      <c r="D490" s="39" t="s">
        <v>7</v>
      </c>
      <c r="E490" s="37" t="s">
        <v>5</v>
      </c>
      <c r="F490" s="37" t="s">
        <v>4</v>
      </c>
      <c r="G490" s="37" t="s">
        <v>90</v>
      </c>
      <c r="H490" s="37" t="s">
        <v>2</v>
      </c>
      <c r="I490" s="37" t="s">
        <v>193</v>
      </c>
      <c r="J490" s="39"/>
      <c r="K490" s="6">
        <f>K491</f>
        <v>572.20000000000005</v>
      </c>
    </row>
    <row r="491" spans="1:12" s="26" customFormat="1" ht="31.2" x14ac:dyDescent="0.25">
      <c r="A491" s="107"/>
      <c r="B491" s="40" t="s">
        <v>75</v>
      </c>
      <c r="C491" s="38">
        <v>918</v>
      </c>
      <c r="D491" s="39" t="s">
        <v>7</v>
      </c>
      <c r="E491" s="37" t="s">
        <v>5</v>
      </c>
      <c r="F491" s="37" t="s">
        <v>4</v>
      </c>
      <c r="G491" s="37" t="s">
        <v>90</v>
      </c>
      <c r="H491" s="37" t="s">
        <v>2</v>
      </c>
      <c r="I491" s="37" t="s">
        <v>193</v>
      </c>
      <c r="J491" s="39" t="s">
        <v>647</v>
      </c>
      <c r="K491" s="6">
        <f>572.2</f>
        <v>572.20000000000005</v>
      </c>
    </row>
    <row r="492" spans="1:12" s="26" customFormat="1" x14ac:dyDescent="0.25">
      <c r="A492" s="107"/>
      <c r="B492" s="1" t="s">
        <v>407</v>
      </c>
      <c r="C492" s="38">
        <v>918</v>
      </c>
      <c r="D492" s="39" t="s">
        <v>7</v>
      </c>
      <c r="E492" s="37" t="s">
        <v>5</v>
      </c>
      <c r="F492" s="37" t="s">
        <v>23</v>
      </c>
      <c r="G492" s="37"/>
      <c r="H492" s="37"/>
      <c r="I492" s="37"/>
      <c r="J492" s="39"/>
      <c r="K492" s="6">
        <f>K493</f>
        <v>4198.8</v>
      </c>
    </row>
    <row r="493" spans="1:12" s="26" customFormat="1" ht="46.8" x14ac:dyDescent="0.25">
      <c r="A493" s="107"/>
      <c r="B493" s="1" t="s">
        <v>467</v>
      </c>
      <c r="C493" s="38">
        <v>918</v>
      </c>
      <c r="D493" s="39" t="s">
        <v>7</v>
      </c>
      <c r="E493" s="37" t="s">
        <v>5</v>
      </c>
      <c r="F493" s="37" t="s">
        <v>23</v>
      </c>
      <c r="G493" s="37" t="s">
        <v>117</v>
      </c>
      <c r="H493" s="37"/>
      <c r="I493" s="37"/>
      <c r="J493" s="39"/>
      <c r="K493" s="6">
        <f>K494</f>
        <v>4198.8</v>
      </c>
    </row>
    <row r="494" spans="1:12" s="26" customFormat="1" x14ac:dyDescent="0.25">
      <c r="A494" s="107"/>
      <c r="B494" s="1" t="s">
        <v>469</v>
      </c>
      <c r="C494" s="38">
        <v>918</v>
      </c>
      <c r="D494" s="39" t="s">
        <v>7</v>
      </c>
      <c r="E494" s="37" t="s">
        <v>5</v>
      </c>
      <c r="F494" s="37" t="s">
        <v>23</v>
      </c>
      <c r="G494" s="37" t="s">
        <v>117</v>
      </c>
      <c r="H494" s="37" t="s">
        <v>2</v>
      </c>
      <c r="I494" s="37"/>
      <c r="J494" s="39"/>
      <c r="K494" s="6">
        <f>K495+K497</f>
        <v>4198.8</v>
      </c>
    </row>
    <row r="495" spans="1:12" s="26" customFormat="1" ht="31.2" x14ac:dyDescent="0.25">
      <c r="A495" s="107"/>
      <c r="B495" s="1" t="s">
        <v>544</v>
      </c>
      <c r="C495" s="38">
        <v>918</v>
      </c>
      <c r="D495" s="39" t="s">
        <v>7</v>
      </c>
      <c r="E495" s="37" t="s">
        <v>5</v>
      </c>
      <c r="F495" s="37" t="s">
        <v>23</v>
      </c>
      <c r="G495" s="38">
        <v>2</v>
      </c>
      <c r="H495" s="37" t="s">
        <v>2</v>
      </c>
      <c r="I495" s="37" t="s">
        <v>537</v>
      </c>
      <c r="J495" s="37"/>
      <c r="K495" s="6">
        <f>K496</f>
        <v>3161.1</v>
      </c>
    </row>
    <row r="496" spans="1:12" s="26" customFormat="1" ht="31.2" x14ac:dyDescent="0.25">
      <c r="A496" s="107"/>
      <c r="B496" s="1" t="s">
        <v>123</v>
      </c>
      <c r="C496" s="38">
        <v>918</v>
      </c>
      <c r="D496" s="39" t="s">
        <v>7</v>
      </c>
      <c r="E496" s="37" t="s">
        <v>5</v>
      </c>
      <c r="F496" s="37" t="s">
        <v>23</v>
      </c>
      <c r="G496" s="38">
        <v>2</v>
      </c>
      <c r="H496" s="37" t="s">
        <v>2</v>
      </c>
      <c r="I496" s="37" t="s">
        <v>537</v>
      </c>
      <c r="J496" s="37" t="s">
        <v>49</v>
      </c>
      <c r="K496" s="6">
        <f>2852.5+118.9+189.7</f>
        <v>3161.1</v>
      </c>
    </row>
    <row r="497" spans="1:11" s="26" customFormat="1" ht="31.2" x14ac:dyDescent="0.25">
      <c r="A497" s="107"/>
      <c r="B497" s="1" t="s">
        <v>544</v>
      </c>
      <c r="C497" s="38">
        <v>918</v>
      </c>
      <c r="D497" s="39" t="s">
        <v>7</v>
      </c>
      <c r="E497" s="37" t="s">
        <v>5</v>
      </c>
      <c r="F497" s="37" t="s">
        <v>23</v>
      </c>
      <c r="G497" s="38">
        <v>2</v>
      </c>
      <c r="H497" s="37" t="s">
        <v>2</v>
      </c>
      <c r="I497" s="37" t="s">
        <v>538</v>
      </c>
      <c r="J497" s="37"/>
      <c r="K497" s="6">
        <f>K498</f>
        <v>1037.7</v>
      </c>
    </row>
    <row r="498" spans="1:11" s="26" customFormat="1" ht="31.2" x14ac:dyDescent="0.25">
      <c r="A498" s="107"/>
      <c r="B498" s="1" t="s">
        <v>123</v>
      </c>
      <c r="C498" s="38">
        <v>918</v>
      </c>
      <c r="D498" s="39" t="s">
        <v>7</v>
      </c>
      <c r="E498" s="37" t="s">
        <v>5</v>
      </c>
      <c r="F498" s="37" t="s">
        <v>23</v>
      </c>
      <c r="G498" s="38">
        <v>2</v>
      </c>
      <c r="H498" s="37" t="s">
        <v>2</v>
      </c>
      <c r="I498" s="37" t="s">
        <v>538</v>
      </c>
      <c r="J498" s="37" t="s">
        <v>49</v>
      </c>
      <c r="K498" s="6">
        <v>1037.7</v>
      </c>
    </row>
    <row r="499" spans="1:11" s="26" customFormat="1" x14ac:dyDescent="0.25">
      <c r="A499" s="107"/>
      <c r="B499" s="1" t="s">
        <v>18</v>
      </c>
      <c r="C499" s="38">
        <v>918</v>
      </c>
      <c r="D499" s="39" t="s">
        <v>8</v>
      </c>
      <c r="E499" s="37"/>
      <c r="F499" s="37"/>
      <c r="G499" s="38"/>
      <c r="H499" s="37"/>
      <c r="I499" s="37"/>
      <c r="J499" s="37"/>
      <c r="K499" s="6">
        <f>K500+K512</f>
        <v>289728.5</v>
      </c>
    </row>
    <row r="500" spans="1:11" s="26" customFormat="1" x14ac:dyDescent="0.25">
      <c r="A500" s="107"/>
      <c r="B500" s="1" t="s">
        <v>25</v>
      </c>
      <c r="C500" s="38">
        <v>918</v>
      </c>
      <c r="D500" s="39" t="s">
        <v>8</v>
      </c>
      <c r="E500" s="37" t="s">
        <v>2</v>
      </c>
      <c r="F500" s="37"/>
      <c r="G500" s="38"/>
      <c r="H500" s="37"/>
      <c r="I500" s="37"/>
      <c r="J500" s="37"/>
      <c r="K500" s="6">
        <f>K501</f>
        <v>289711.8</v>
      </c>
    </row>
    <row r="501" spans="1:11" s="26" customFormat="1" x14ac:dyDescent="0.25">
      <c r="A501" s="107"/>
      <c r="B501" s="40" t="s">
        <v>378</v>
      </c>
      <c r="C501" s="38">
        <v>918</v>
      </c>
      <c r="D501" s="39" t="s">
        <v>8</v>
      </c>
      <c r="E501" s="37" t="s">
        <v>2</v>
      </c>
      <c r="F501" s="37" t="s">
        <v>4</v>
      </c>
      <c r="G501" s="37"/>
      <c r="H501" s="37"/>
      <c r="I501" s="37"/>
      <c r="J501" s="39"/>
      <c r="K501" s="6">
        <f>K502</f>
        <v>289711.8</v>
      </c>
    </row>
    <row r="502" spans="1:11" s="26" customFormat="1" ht="62.4" x14ac:dyDescent="0.25">
      <c r="A502" s="107"/>
      <c r="B502" s="1" t="s">
        <v>500</v>
      </c>
      <c r="C502" s="38">
        <v>918</v>
      </c>
      <c r="D502" s="39" t="s">
        <v>8</v>
      </c>
      <c r="E502" s="37" t="s">
        <v>2</v>
      </c>
      <c r="F502" s="37" t="s">
        <v>4</v>
      </c>
      <c r="G502" s="37" t="s">
        <v>90</v>
      </c>
      <c r="H502" s="37"/>
      <c r="I502" s="37"/>
      <c r="J502" s="39"/>
      <c r="K502" s="6">
        <f>K503</f>
        <v>289711.8</v>
      </c>
    </row>
    <row r="503" spans="1:11" s="26" customFormat="1" ht="31.2" x14ac:dyDescent="0.25">
      <c r="A503" s="107"/>
      <c r="B503" s="40" t="s">
        <v>501</v>
      </c>
      <c r="C503" s="38">
        <v>918</v>
      </c>
      <c r="D503" s="39" t="s">
        <v>8</v>
      </c>
      <c r="E503" s="37" t="s">
        <v>2</v>
      </c>
      <c r="F503" s="37" t="s">
        <v>4</v>
      </c>
      <c r="G503" s="37" t="s">
        <v>90</v>
      </c>
      <c r="H503" s="37" t="s">
        <v>2</v>
      </c>
      <c r="I503" s="37"/>
      <c r="J503" s="39"/>
      <c r="K503" s="6">
        <f>K504+K506+K508+K510</f>
        <v>289711.8</v>
      </c>
    </row>
    <row r="504" spans="1:11" s="26" customFormat="1" ht="93.6" x14ac:dyDescent="0.25">
      <c r="A504" s="107"/>
      <c r="B504" s="40" t="s">
        <v>484</v>
      </c>
      <c r="C504" s="38">
        <v>918</v>
      </c>
      <c r="D504" s="39" t="s">
        <v>8</v>
      </c>
      <c r="E504" s="37" t="s">
        <v>2</v>
      </c>
      <c r="F504" s="37" t="s">
        <v>4</v>
      </c>
      <c r="G504" s="37" t="s">
        <v>90</v>
      </c>
      <c r="H504" s="37" t="s">
        <v>2</v>
      </c>
      <c r="I504" s="37" t="s">
        <v>294</v>
      </c>
      <c r="J504" s="39"/>
      <c r="K504" s="6">
        <f>K505</f>
        <v>1727.6000000000008</v>
      </c>
    </row>
    <row r="505" spans="1:11" s="26" customFormat="1" ht="31.2" x14ac:dyDescent="0.25">
      <c r="A505" s="107"/>
      <c r="B505" s="40" t="s">
        <v>75</v>
      </c>
      <c r="C505" s="38">
        <v>918</v>
      </c>
      <c r="D505" s="39" t="s">
        <v>8</v>
      </c>
      <c r="E505" s="37" t="s">
        <v>2</v>
      </c>
      <c r="F505" s="37" t="s">
        <v>4</v>
      </c>
      <c r="G505" s="37" t="s">
        <v>90</v>
      </c>
      <c r="H505" s="37" t="s">
        <v>2</v>
      </c>
      <c r="I505" s="37" t="s">
        <v>294</v>
      </c>
      <c r="J505" s="39" t="s">
        <v>54</v>
      </c>
      <c r="K505" s="6">
        <f>22692.5-14968.6-1039.2+3022.9+709+1727.6-0.1+0.1-0.1+(-10416.4)-0.1</f>
        <v>1727.6000000000008</v>
      </c>
    </row>
    <row r="506" spans="1:11" s="26" customFormat="1" ht="78" customHeight="1" x14ac:dyDescent="0.25">
      <c r="A506" s="107"/>
      <c r="B506" s="40" t="s">
        <v>421</v>
      </c>
      <c r="C506" s="38">
        <v>918</v>
      </c>
      <c r="D506" s="39" t="s">
        <v>8</v>
      </c>
      <c r="E506" s="37" t="s">
        <v>2</v>
      </c>
      <c r="F506" s="37" t="s">
        <v>4</v>
      </c>
      <c r="G506" s="37" t="s">
        <v>90</v>
      </c>
      <c r="H506" s="37" t="s">
        <v>2</v>
      </c>
      <c r="I506" s="37" t="s">
        <v>223</v>
      </c>
      <c r="J506" s="39"/>
      <c r="K506" s="6">
        <f>K507</f>
        <v>0</v>
      </c>
    </row>
    <row r="507" spans="1:11" s="26" customFormat="1" ht="31.2" x14ac:dyDescent="0.25">
      <c r="A507" s="107"/>
      <c r="B507" s="40" t="s">
        <v>75</v>
      </c>
      <c r="C507" s="38">
        <v>918</v>
      </c>
      <c r="D507" s="39" t="s">
        <v>8</v>
      </c>
      <c r="E507" s="37" t="s">
        <v>2</v>
      </c>
      <c r="F507" s="37" t="s">
        <v>4</v>
      </c>
      <c r="G507" s="37" t="s">
        <v>90</v>
      </c>
      <c r="H507" s="37" t="s">
        <v>2</v>
      </c>
      <c r="I507" s="37" t="s">
        <v>223</v>
      </c>
      <c r="J507" s="39" t="s">
        <v>54</v>
      </c>
      <c r="K507" s="6">
        <f>25028.1+1597.6+234506.2+14968.6+88-259534.3-16654.2</f>
        <v>0</v>
      </c>
    </row>
    <row r="508" spans="1:11" s="26" customFormat="1" ht="46.8" x14ac:dyDescent="0.25">
      <c r="A508" s="107"/>
      <c r="B508" s="1" t="s">
        <v>591</v>
      </c>
      <c r="C508" s="38">
        <v>918</v>
      </c>
      <c r="D508" s="39" t="s">
        <v>8</v>
      </c>
      <c r="E508" s="37" t="s">
        <v>2</v>
      </c>
      <c r="F508" s="37" t="s">
        <v>4</v>
      </c>
      <c r="G508" s="37" t="s">
        <v>90</v>
      </c>
      <c r="H508" s="37" t="s">
        <v>2</v>
      </c>
      <c r="I508" s="37" t="s">
        <v>592</v>
      </c>
      <c r="J508" s="39"/>
      <c r="K508" s="6">
        <f>K509</f>
        <v>277567.8</v>
      </c>
    </row>
    <row r="509" spans="1:11" s="26" customFormat="1" ht="31.2" x14ac:dyDescent="0.25">
      <c r="A509" s="107"/>
      <c r="B509" s="1" t="s">
        <v>75</v>
      </c>
      <c r="C509" s="38">
        <v>918</v>
      </c>
      <c r="D509" s="39" t="s">
        <v>8</v>
      </c>
      <c r="E509" s="37" t="s">
        <v>2</v>
      </c>
      <c r="F509" s="37" t="s">
        <v>4</v>
      </c>
      <c r="G509" s="37" t="s">
        <v>90</v>
      </c>
      <c r="H509" s="37" t="s">
        <v>2</v>
      </c>
      <c r="I509" s="37" t="s">
        <v>592</v>
      </c>
      <c r="J509" s="39" t="s">
        <v>54</v>
      </c>
      <c r="K509" s="6">
        <f>259534.3+16654.2+1379.2+0.1</f>
        <v>277567.8</v>
      </c>
    </row>
    <row r="510" spans="1:11" s="26" customFormat="1" ht="53.25" customHeight="1" x14ac:dyDescent="0.25">
      <c r="A510" s="107"/>
      <c r="B510" s="1" t="s">
        <v>637</v>
      </c>
      <c r="C510" s="38">
        <v>918</v>
      </c>
      <c r="D510" s="39" t="s">
        <v>8</v>
      </c>
      <c r="E510" s="37" t="s">
        <v>2</v>
      </c>
      <c r="F510" s="37" t="s">
        <v>4</v>
      </c>
      <c r="G510" s="37" t="s">
        <v>90</v>
      </c>
      <c r="H510" s="37" t="s">
        <v>2</v>
      </c>
      <c r="I510" s="37" t="s">
        <v>636</v>
      </c>
      <c r="J510" s="39"/>
      <c r="K510" s="6">
        <f>K511</f>
        <v>10416.4</v>
      </c>
    </row>
    <row r="511" spans="1:11" s="26" customFormat="1" ht="31.2" x14ac:dyDescent="0.25">
      <c r="A511" s="107"/>
      <c r="B511" s="1" t="s">
        <v>75</v>
      </c>
      <c r="C511" s="38">
        <v>918</v>
      </c>
      <c r="D511" s="39" t="s">
        <v>8</v>
      </c>
      <c r="E511" s="37" t="s">
        <v>2</v>
      </c>
      <c r="F511" s="37" t="s">
        <v>4</v>
      </c>
      <c r="G511" s="37" t="s">
        <v>90</v>
      </c>
      <c r="H511" s="37" t="s">
        <v>2</v>
      </c>
      <c r="I511" s="37" t="s">
        <v>636</v>
      </c>
      <c r="J511" s="39" t="s">
        <v>54</v>
      </c>
      <c r="K511" s="6">
        <f>(10416.4)</f>
        <v>10416.4</v>
      </c>
    </row>
    <row r="512" spans="1:11" s="26" customFormat="1" ht="16.5" customHeight="1" x14ac:dyDescent="0.25">
      <c r="A512" s="107"/>
      <c r="B512" s="1" t="s">
        <v>235</v>
      </c>
      <c r="C512" s="2">
        <v>918</v>
      </c>
      <c r="D512" s="39" t="s">
        <v>8</v>
      </c>
      <c r="E512" s="39" t="s">
        <v>7</v>
      </c>
      <c r="F512" s="37"/>
      <c r="G512" s="37"/>
      <c r="H512" s="37"/>
      <c r="I512" s="37"/>
      <c r="J512" s="39"/>
      <c r="K512" s="6">
        <f>SUM(K513)</f>
        <v>16.7</v>
      </c>
    </row>
    <row r="513" spans="1:11" s="26" customFormat="1" x14ac:dyDescent="0.25">
      <c r="A513" s="107"/>
      <c r="B513" s="1" t="s">
        <v>360</v>
      </c>
      <c r="C513" s="2">
        <v>918</v>
      </c>
      <c r="D513" s="39" t="s">
        <v>8</v>
      </c>
      <c r="E513" s="39" t="s">
        <v>7</v>
      </c>
      <c r="F513" s="37" t="s">
        <v>4</v>
      </c>
      <c r="G513" s="37"/>
      <c r="H513" s="37"/>
      <c r="I513" s="37"/>
      <c r="J513" s="39"/>
      <c r="K513" s="6">
        <f>SUM(K514)</f>
        <v>16.7</v>
      </c>
    </row>
    <row r="514" spans="1:11" s="26" customFormat="1" ht="62.4" x14ac:dyDescent="0.25">
      <c r="A514" s="107"/>
      <c r="B514" s="1" t="s">
        <v>500</v>
      </c>
      <c r="C514" s="2">
        <v>918</v>
      </c>
      <c r="D514" s="39" t="s">
        <v>8</v>
      </c>
      <c r="E514" s="39" t="s">
        <v>7</v>
      </c>
      <c r="F514" s="37" t="s">
        <v>4</v>
      </c>
      <c r="G514" s="37" t="s">
        <v>90</v>
      </c>
      <c r="H514" s="37"/>
      <c r="I514" s="37"/>
      <c r="J514" s="39"/>
      <c r="K514" s="6">
        <f>SUM(K515)</f>
        <v>16.7</v>
      </c>
    </row>
    <row r="515" spans="1:11" s="26" customFormat="1" ht="48" customHeight="1" x14ac:dyDescent="0.25">
      <c r="A515" s="107"/>
      <c r="B515" s="1" t="s">
        <v>502</v>
      </c>
      <c r="C515" s="2">
        <v>918</v>
      </c>
      <c r="D515" s="39" t="s">
        <v>8</v>
      </c>
      <c r="E515" s="39" t="s">
        <v>7</v>
      </c>
      <c r="F515" s="37" t="s">
        <v>4</v>
      </c>
      <c r="G515" s="37" t="s">
        <v>90</v>
      </c>
      <c r="H515" s="37" t="s">
        <v>4</v>
      </c>
      <c r="I515" s="37"/>
      <c r="J515" s="39"/>
      <c r="K515" s="6">
        <f>SUM(K516)</f>
        <v>16.7</v>
      </c>
    </row>
    <row r="516" spans="1:11" s="26" customFormat="1" x14ac:dyDescent="0.25">
      <c r="A516" s="107"/>
      <c r="B516" s="1" t="s">
        <v>237</v>
      </c>
      <c r="C516" s="2">
        <v>918</v>
      </c>
      <c r="D516" s="39" t="s">
        <v>8</v>
      </c>
      <c r="E516" s="39" t="s">
        <v>7</v>
      </c>
      <c r="F516" s="37" t="s">
        <v>4</v>
      </c>
      <c r="G516" s="37" t="s">
        <v>90</v>
      </c>
      <c r="H516" s="37" t="s">
        <v>4</v>
      </c>
      <c r="I516" s="37" t="s">
        <v>236</v>
      </c>
      <c r="J516" s="39"/>
      <c r="K516" s="6">
        <f>SUM(K517)</f>
        <v>16.7</v>
      </c>
    </row>
    <row r="517" spans="1:11" s="26" customFormat="1" ht="31.2" x14ac:dyDescent="0.25">
      <c r="A517" s="107"/>
      <c r="B517" s="1" t="s">
        <v>123</v>
      </c>
      <c r="C517" s="2">
        <v>918</v>
      </c>
      <c r="D517" s="39" t="s">
        <v>8</v>
      </c>
      <c r="E517" s="39" t="s">
        <v>7</v>
      </c>
      <c r="F517" s="37" t="s">
        <v>4</v>
      </c>
      <c r="G517" s="37" t="s">
        <v>90</v>
      </c>
      <c r="H517" s="37" t="s">
        <v>4</v>
      </c>
      <c r="I517" s="37" t="s">
        <v>236</v>
      </c>
      <c r="J517" s="39" t="s">
        <v>49</v>
      </c>
      <c r="K517" s="6">
        <v>16.7</v>
      </c>
    </row>
    <row r="518" spans="1:11" s="26" customFormat="1" x14ac:dyDescent="0.25">
      <c r="A518" s="52"/>
      <c r="B518" s="46" t="s">
        <v>61</v>
      </c>
      <c r="C518" s="38">
        <v>918</v>
      </c>
      <c r="D518" s="37" t="s">
        <v>23</v>
      </c>
      <c r="E518" s="37"/>
      <c r="F518" s="37"/>
      <c r="G518" s="38"/>
      <c r="H518" s="37"/>
      <c r="I518" s="37"/>
      <c r="J518" s="39"/>
      <c r="K518" s="6">
        <f>K535+K527+K519</f>
        <v>204213.4</v>
      </c>
    </row>
    <row r="519" spans="1:11" s="26" customFormat="1" x14ac:dyDescent="0.25">
      <c r="A519" s="52"/>
      <c r="B519" s="46" t="s">
        <v>595</v>
      </c>
      <c r="C519" s="38">
        <v>918</v>
      </c>
      <c r="D519" s="37" t="s">
        <v>23</v>
      </c>
      <c r="E519" s="37" t="s">
        <v>2</v>
      </c>
      <c r="F519" s="37"/>
      <c r="G519" s="38"/>
      <c r="H519" s="37"/>
      <c r="I519" s="37"/>
      <c r="J519" s="39"/>
      <c r="K519" s="6">
        <f>K520</f>
        <v>160596.59999999998</v>
      </c>
    </row>
    <row r="520" spans="1:11" s="26" customFormat="1" x14ac:dyDescent="0.25">
      <c r="A520" s="52"/>
      <c r="B520" s="46" t="s">
        <v>360</v>
      </c>
      <c r="C520" s="38">
        <v>918</v>
      </c>
      <c r="D520" s="37" t="s">
        <v>23</v>
      </c>
      <c r="E520" s="37" t="s">
        <v>2</v>
      </c>
      <c r="F520" s="37" t="s">
        <v>4</v>
      </c>
      <c r="G520" s="38"/>
      <c r="H520" s="37"/>
      <c r="I520" s="37"/>
      <c r="J520" s="39"/>
      <c r="K520" s="6">
        <f>K521</f>
        <v>160596.59999999998</v>
      </c>
    </row>
    <row r="521" spans="1:11" s="26" customFormat="1" ht="62.4" x14ac:dyDescent="0.25">
      <c r="A521" s="52"/>
      <c r="B521" s="1" t="s">
        <v>500</v>
      </c>
      <c r="C521" s="38">
        <v>918</v>
      </c>
      <c r="D521" s="37" t="s">
        <v>23</v>
      </c>
      <c r="E521" s="37" t="s">
        <v>2</v>
      </c>
      <c r="F521" s="37" t="s">
        <v>4</v>
      </c>
      <c r="G521" s="38">
        <v>1</v>
      </c>
      <c r="H521" s="37"/>
      <c r="I521" s="37"/>
      <c r="J521" s="39"/>
      <c r="K521" s="6">
        <f>K522</f>
        <v>160596.59999999998</v>
      </c>
    </row>
    <row r="522" spans="1:11" s="26" customFormat="1" ht="31.2" x14ac:dyDescent="0.25">
      <c r="A522" s="52"/>
      <c r="B522" s="40" t="s">
        <v>501</v>
      </c>
      <c r="C522" s="38">
        <v>918</v>
      </c>
      <c r="D522" s="37" t="s">
        <v>23</v>
      </c>
      <c r="E522" s="37" t="s">
        <v>2</v>
      </c>
      <c r="F522" s="37" t="s">
        <v>4</v>
      </c>
      <c r="G522" s="38">
        <v>1</v>
      </c>
      <c r="H522" s="37" t="s">
        <v>2</v>
      </c>
      <c r="I522" s="37"/>
      <c r="J522" s="39"/>
      <c r="K522" s="6">
        <f>K523+K525</f>
        <v>160596.59999999998</v>
      </c>
    </row>
    <row r="523" spans="1:11" s="26" customFormat="1" ht="46.8" x14ac:dyDescent="0.25">
      <c r="A523" s="52"/>
      <c r="B523" s="1" t="s">
        <v>594</v>
      </c>
      <c r="C523" s="38">
        <v>918</v>
      </c>
      <c r="D523" s="37" t="s">
        <v>23</v>
      </c>
      <c r="E523" s="37" t="s">
        <v>2</v>
      </c>
      <c r="F523" s="37" t="s">
        <v>4</v>
      </c>
      <c r="G523" s="37" t="s">
        <v>90</v>
      </c>
      <c r="H523" s="37" t="s">
        <v>2</v>
      </c>
      <c r="I523" s="37" t="s">
        <v>593</v>
      </c>
      <c r="J523" s="39"/>
      <c r="K523" s="6">
        <f>K524</f>
        <v>155604.29999999999</v>
      </c>
    </row>
    <row r="524" spans="1:11" s="26" customFormat="1" ht="31.2" x14ac:dyDescent="0.25">
      <c r="A524" s="52"/>
      <c r="B524" s="1" t="s">
        <v>75</v>
      </c>
      <c r="C524" s="38">
        <v>918</v>
      </c>
      <c r="D524" s="37" t="s">
        <v>23</v>
      </c>
      <c r="E524" s="37" t="s">
        <v>2</v>
      </c>
      <c r="F524" s="37" t="s">
        <v>4</v>
      </c>
      <c r="G524" s="37" t="s">
        <v>90</v>
      </c>
      <c r="H524" s="37" t="s">
        <v>2</v>
      </c>
      <c r="I524" s="37" t="s">
        <v>593</v>
      </c>
      <c r="J524" s="39" t="s">
        <v>54</v>
      </c>
      <c r="K524" s="6">
        <f>132418.4+9336.3+13849.5+0.1</f>
        <v>155604.29999999999</v>
      </c>
    </row>
    <row r="525" spans="1:11" s="26" customFormat="1" ht="52.5" customHeight="1" x14ac:dyDescent="0.25">
      <c r="A525" s="52"/>
      <c r="B525" s="46" t="s">
        <v>634</v>
      </c>
      <c r="C525" s="38">
        <v>918</v>
      </c>
      <c r="D525" s="37" t="s">
        <v>23</v>
      </c>
      <c r="E525" s="37" t="s">
        <v>2</v>
      </c>
      <c r="F525" s="37" t="s">
        <v>4</v>
      </c>
      <c r="G525" s="37" t="s">
        <v>90</v>
      </c>
      <c r="H525" s="37" t="s">
        <v>2</v>
      </c>
      <c r="I525" s="37" t="s">
        <v>635</v>
      </c>
      <c r="J525" s="39"/>
      <c r="K525" s="6">
        <f>K526</f>
        <v>4992.3</v>
      </c>
    </row>
    <row r="526" spans="1:11" s="26" customFormat="1" ht="31.2" x14ac:dyDescent="0.25">
      <c r="A526" s="52"/>
      <c r="B526" s="1" t="s">
        <v>75</v>
      </c>
      <c r="C526" s="38">
        <v>918</v>
      </c>
      <c r="D526" s="37" t="s">
        <v>23</v>
      </c>
      <c r="E526" s="37" t="s">
        <v>2</v>
      </c>
      <c r="F526" s="37" t="s">
        <v>4</v>
      </c>
      <c r="G526" s="37" t="s">
        <v>90</v>
      </c>
      <c r="H526" s="37" t="s">
        <v>2</v>
      </c>
      <c r="I526" s="37" t="s">
        <v>635</v>
      </c>
      <c r="J526" s="39" t="s">
        <v>54</v>
      </c>
      <c r="K526" s="6">
        <v>4992.3</v>
      </c>
    </row>
    <row r="527" spans="1:11" s="26" customFormat="1" x14ac:dyDescent="0.25">
      <c r="A527" s="52"/>
      <c r="B527" s="46" t="s">
        <v>476</v>
      </c>
      <c r="C527" s="38">
        <v>918</v>
      </c>
      <c r="D527" s="37" t="s">
        <v>23</v>
      </c>
      <c r="E527" s="37" t="s">
        <v>4</v>
      </c>
      <c r="F527" s="37"/>
      <c r="G527" s="38"/>
      <c r="H527" s="37"/>
      <c r="I527" s="37"/>
      <c r="J527" s="39"/>
      <c r="K527" s="6">
        <f>SUM(K528)</f>
        <v>10876</v>
      </c>
    </row>
    <row r="528" spans="1:11" s="26" customFormat="1" x14ac:dyDescent="0.25">
      <c r="A528" s="52"/>
      <c r="B528" s="1" t="s">
        <v>360</v>
      </c>
      <c r="C528" s="38">
        <v>918</v>
      </c>
      <c r="D528" s="37" t="s">
        <v>23</v>
      </c>
      <c r="E528" s="37" t="s">
        <v>4</v>
      </c>
      <c r="F528" s="37" t="s">
        <v>4</v>
      </c>
      <c r="G528" s="38"/>
      <c r="H528" s="37"/>
      <c r="I528" s="37"/>
      <c r="J528" s="39"/>
      <c r="K528" s="6">
        <f>SUM(K529)</f>
        <v>10876</v>
      </c>
    </row>
    <row r="529" spans="1:11" s="26" customFormat="1" ht="62.4" x14ac:dyDescent="0.25">
      <c r="A529" s="52"/>
      <c r="B529" s="1" t="s">
        <v>500</v>
      </c>
      <c r="C529" s="38">
        <v>918</v>
      </c>
      <c r="D529" s="37" t="s">
        <v>23</v>
      </c>
      <c r="E529" s="37" t="s">
        <v>4</v>
      </c>
      <c r="F529" s="37" t="s">
        <v>4</v>
      </c>
      <c r="G529" s="38">
        <v>1</v>
      </c>
      <c r="H529" s="37"/>
      <c r="I529" s="37"/>
      <c r="J529" s="39"/>
      <c r="K529" s="6">
        <f>SUM(K530)</f>
        <v>10876</v>
      </c>
    </row>
    <row r="530" spans="1:11" s="26" customFormat="1" ht="31.2" x14ac:dyDescent="0.25">
      <c r="A530" s="52"/>
      <c r="B530" s="40" t="s">
        <v>501</v>
      </c>
      <c r="C530" s="38">
        <v>918</v>
      </c>
      <c r="D530" s="37" t="s">
        <v>23</v>
      </c>
      <c r="E530" s="37" t="s">
        <v>4</v>
      </c>
      <c r="F530" s="37" t="s">
        <v>4</v>
      </c>
      <c r="G530" s="38">
        <v>1</v>
      </c>
      <c r="H530" s="37" t="s">
        <v>2</v>
      </c>
      <c r="I530" s="37"/>
      <c r="J530" s="39"/>
      <c r="K530" s="6">
        <f>SUM(K531+K533)</f>
        <v>10876</v>
      </c>
    </row>
    <row r="531" spans="1:11" s="26" customFormat="1" ht="46.8" x14ac:dyDescent="0.25">
      <c r="A531" s="52"/>
      <c r="B531" s="1" t="s">
        <v>442</v>
      </c>
      <c r="C531" s="38">
        <v>918</v>
      </c>
      <c r="D531" s="37" t="s">
        <v>23</v>
      </c>
      <c r="E531" s="37" t="s">
        <v>4</v>
      </c>
      <c r="F531" s="37" t="s">
        <v>4</v>
      </c>
      <c r="G531" s="38">
        <v>1</v>
      </c>
      <c r="H531" s="37" t="s">
        <v>2</v>
      </c>
      <c r="I531" s="37" t="s">
        <v>443</v>
      </c>
      <c r="J531" s="39"/>
      <c r="K531" s="6">
        <f>SUM(K532)</f>
        <v>9267.2000000000007</v>
      </c>
    </row>
    <row r="532" spans="1:11" s="26" customFormat="1" ht="31.2" x14ac:dyDescent="0.25">
      <c r="A532" s="52"/>
      <c r="B532" s="1" t="s">
        <v>75</v>
      </c>
      <c r="C532" s="38">
        <v>918</v>
      </c>
      <c r="D532" s="37" t="s">
        <v>23</v>
      </c>
      <c r="E532" s="37" t="s">
        <v>4</v>
      </c>
      <c r="F532" s="37" t="s">
        <v>4</v>
      </c>
      <c r="G532" s="38">
        <v>1</v>
      </c>
      <c r="H532" s="37" t="s">
        <v>2</v>
      </c>
      <c r="I532" s="37" t="s">
        <v>443</v>
      </c>
      <c r="J532" s="39" t="s">
        <v>54</v>
      </c>
      <c r="K532" s="6">
        <v>9267.2000000000007</v>
      </c>
    </row>
    <row r="533" spans="1:11" s="26" customFormat="1" ht="46.8" x14ac:dyDescent="0.25">
      <c r="A533" s="52"/>
      <c r="B533" s="1" t="s">
        <v>488</v>
      </c>
      <c r="C533" s="38">
        <v>918</v>
      </c>
      <c r="D533" s="37" t="s">
        <v>23</v>
      </c>
      <c r="E533" s="37" t="s">
        <v>4</v>
      </c>
      <c r="F533" s="37" t="s">
        <v>4</v>
      </c>
      <c r="G533" s="38">
        <v>1</v>
      </c>
      <c r="H533" s="37" t="s">
        <v>2</v>
      </c>
      <c r="I533" s="37" t="s">
        <v>487</v>
      </c>
      <c r="J533" s="39"/>
      <c r="K533" s="6">
        <f>SUM(K534)</f>
        <v>1608.8</v>
      </c>
    </row>
    <row r="534" spans="1:11" s="26" customFormat="1" ht="31.2" x14ac:dyDescent="0.25">
      <c r="A534" s="52"/>
      <c r="B534" s="1" t="s">
        <v>75</v>
      </c>
      <c r="C534" s="38">
        <v>918</v>
      </c>
      <c r="D534" s="37" t="s">
        <v>23</v>
      </c>
      <c r="E534" s="37" t="s">
        <v>4</v>
      </c>
      <c r="F534" s="37" t="s">
        <v>4</v>
      </c>
      <c r="G534" s="38">
        <v>1</v>
      </c>
      <c r="H534" s="37" t="s">
        <v>2</v>
      </c>
      <c r="I534" s="37" t="s">
        <v>487</v>
      </c>
      <c r="J534" s="39" t="s">
        <v>54</v>
      </c>
      <c r="K534" s="6">
        <f>198.3+1410.5</f>
        <v>1608.8</v>
      </c>
    </row>
    <row r="535" spans="1:11" s="26" customFormat="1" x14ac:dyDescent="0.25">
      <c r="A535" s="52"/>
      <c r="B535" s="46" t="s">
        <v>265</v>
      </c>
      <c r="C535" s="38">
        <v>918</v>
      </c>
      <c r="D535" s="37" t="s">
        <v>23</v>
      </c>
      <c r="E535" s="37" t="s">
        <v>5</v>
      </c>
      <c r="F535" s="37"/>
      <c r="G535" s="38"/>
      <c r="H535" s="37"/>
      <c r="I535" s="37"/>
      <c r="J535" s="39"/>
      <c r="K535" s="6">
        <f>K536</f>
        <v>32740.800000000017</v>
      </c>
    </row>
    <row r="536" spans="1:11" s="26" customFormat="1" x14ac:dyDescent="0.25">
      <c r="A536" s="52"/>
      <c r="B536" s="46" t="s">
        <v>360</v>
      </c>
      <c r="C536" s="38">
        <v>918</v>
      </c>
      <c r="D536" s="37" t="s">
        <v>23</v>
      </c>
      <c r="E536" s="37" t="s">
        <v>5</v>
      </c>
      <c r="F536" s="37" t="s">
        <v>4</v>
      </c>
      <c r="G536" s="38"/>
      <c r="H536" s="37"/>
      <c r="I536" s="37"/>
      <c r="J536" s="39"/>
      <c r="K536" s="6">
        <f>K537</f>
        <v>32740.800000000017</v>
      </c>
    </row>
    <row r="537" spans="1:11" s="26" customFormat="1" ht="62.4" x14ac:dyDescent="0.25">
      <c r="A537" s="52"/>
      <c r="B537" s="1" t="s">
        <v>500</v>
      </c>
      <c r="C537" s="38">
        <v>918</v>
      </c>
      <c r="D537" s="37" t="s">
        <v>23</v>
      </c>
      <c r="E537" s="37" t="s">
        <v>5</v>
      </c>
      <c r="F537" s="37" t="s">
        <v>4</v>
      </c>
      <c r="G537" s="38">
        <v>1</v>
      </c>
      <c r="H537" s="37"/>
      <c r="I537" s="37"/>
      <c r="J537" s="39"/>
      <c r="K537" s="6">
        <f>K538</f>
        <v>32740.800000000017</v>
      </c>
    </row>
    <row r="538" spans="1:11" s="26" customFormat="1" ht="31.2" x14ac:dyDescent="0.25">
      <c r="A538" s="52"/>
      <c r="B538" s="40" t="s">
        <v>501</v>
      </c>
      <c r="C538" s="38">
        <v>918</v>
      </c>
      <c r="D538" s="37" t="s">
        <v>23</v>
      </c>
      <c r="E538" s="37" t="s">
        <v>5</v>
      </c>
      <c r="F538" s="37" t="s">
        <v>4</v>
      </c>
      <c r="G538" s="38">
        <v>1</v>
      </c>
      <c r="H538" s="37" t="s">
        <v>2</v>
      </c>
      <c r="I538" s="37"/>
      <c r="J538" s="39"/>
      <c r="K538" s="6">
        <f>K539+K541</f>
        <v>32740.800000000017</v>
      </c>
    </row>
    <row r="539" spans="1:11" s="26" customFormat="1" ht="80.25" customHeight="1" x14ac:dyDescent="0.25">
      <c r="A539" s="52"/>
      <c r="B539" s="1" t="s">
        <v>421</v>
      </c>
      <c r="C539" s="38">
        <v>918</v>
      </c>
      <c r="D539" s="37" t="s">
        <v>23</v>
      </c>
      <c r="E539" s="37" t="s">
        <v>5</v>
      </c>
      <c r="F539" s="37" t="s">
        <v>4</v>
      </c>
      <c r="G539" s="37" t="s">
        <v>90</v>
      </c>
      <c r="H539" s="37" t="s">
        <v>2</v>
      </c>
      <c r="I539" s="37" t="s">
        <v>223</v>
      </c>
      <c r="J539" s="39"/>
      <c r="K539" s="6">
        <f>K540</f>
        <v>1.8189894035458565E-11</v>
      </c>
    </row>
    <row r="540" spans="1:11" s="26" customFormat="1" ht="31.2" x14ac:dyDescent="0.25">
      <c r="A540" s="52"/>
      <c r="B540" s="46" t="s">
        <v>75</v>
      </c>
      <c r="C540" s="38">
        <v>918</v>
      </c>
      <c r="D540" s="37" t="s">
        <v>23</v>
      </c>
      <c r="E540" s="37" t="s">
        <v>5</v>
      </c>
      <c r="F540" s="37" t="s">
        <v>4</v>
      </c>
      <c r="G540" s="37" t="s">
        <v>90</v>
      </c>
      <c r="H540" s="37" t="s">
        <v>2</v>
      </c>
      <c r="I540" s="37" t="s">
        <v>223</v>
      </c>
      <c r="J540" s="39" t="s">
        <v>54</v>
      </c>
      <c r="K540" s="6">
        <f>150518+13195.5-18099.6-1155.3-3587.9+809.9+74.1-132418.4-9336.3</f>
        <v>1.8189894035458565E-11</v>
      </c>
    </row>
    <row r="541" spans="1:11" s="26" customFormat="1" ht="93.6" x14ac:dyDescent="0.25">
      <c r="A541" s="52"/>
      <c r="B541" s="53" t="s">
        <v>484</v>
      </c>
      <c r="C541" s="38">
        <v>918</v>
      </c>
      <c r="D541" s="37" t="s">
        <v>23</v>
      </c>
      <c r="E541" s="37" t="s">
        <v>5</v>
      </c>
      <c r="F541" s="37" t="s">
        <v>4</v>
      </c>
      <c r="G541" s="38">
        <v>1</v>
      </c>
      <c r="H541" s="37" t="s">
        <v>2</v>
      </c>
      <c r="I541" s="37" t="s">
        <v>294</v>
      </c>
      <c r="J541" s="37"/>
      <c r="K541" s="6">
        <f>K542</f>
        <v>32740.799999999999</v>
      </c>
    </row>
    <row r="542" spans="1:11" s="26" customFormat="1" ht="31.2" x14ac:dyDescent="0.25">
      <c r="A542" s="52"/>
      <c r="B542" s="46" t="s">
        <v>75</v>
      </c>
      <c r="C542" s="38">
        <v>918</v>
      </c>
      <c r="D542" s="37" t="s">
        <v>23</v>
      </c>
      <c r="E542" s="37" t="s">
        <v>5</v>
      </c>
      <c r="F542" s="37" t="s">
        <v>4</v>
      </c>
      <c r="G542" s="38">
        <v>1</v>
      </c>
      <c r="H542" s="37" t="s">
        <v>2</v>
      </c>
      <c r="I542" s="37" t="s">
        <v>294</v>
      </c>
      <c r="J542" s="37" t="s">
        <v>54</v>
      </c>
      <c r="K542" s="6">
        <f>3587.9+839.3+33+152.3+665+55+35+598.7+1467.2+283.9+15589.4+379.8+1727.6+6599.3-1727.6+7447.3-4992.3</f>
        <v>32740.799999999999</v>
      </c>
    </row>
    <row r="543" spans="1:11" s="26" customFormat="1" ht="31.2" x14ac:dyDescent="0.25">
      <c r="A543" s="109">
        <v>6</v>
      </c>
      <c r="B543" s="1" t="s">
        <v>477</v>
      </c>
      <c r="C543" s="2">
        <v>920</v>
      </c>
      <c r="D543" s="39"/>
      <c r="E543" s="39"/>
      <c r="F543" s="39"/>
      <c r="G543" s="2"/>
      <c r="H543" s="39"/>
      <c r="I543" s="39"/>
      <c r="J543" s="39"/>
      <c r="K543" s="6">
        <f>SUM(K544+K592)</f>
        <v>160927.5</v>
      </c>
    </row>
    <row r="544" spans="1:11" s="26" customFormat="1" x14ac:dyDescent="0.25">
      <c r="A544" s="109"/>
      <c r="B544" s="1" t="s">
        <v>14</v>
      </c>
      <c r="C544" s="2">
        <v>920</v>
      </c>
      <c r="D544" s="39" t="s">
        <v>5</v>
      </c>
      <c r="E544" s="39"/>
      <c r="F544" s="39"/>
      <c r="G544" s="2"/>
      <c r="H544" s="39"/>
      <c r="I544" s="39"/>
      <c r="J544" s="39"/>
      <c r="K544" s="6">
        <f>SUM(K545)</f>
        <v>160840.20000000001</v>
      </c>
    </row>
    <row r="545" spans="1:11" s="26" customFormat="1" ht="31.2" x14ac:dyDescent="0.25">
      <c r="A545" s="109"/>
      <c r="B545" s="1" t="s">
        <v>224</v>
      </c>
      <c r="C545" s="2">
        <v>920</v>
      </c>
      <c r="D545" s="39" t="s">
        <v>5</v>
      </c>
      <c r="E545" s="37" t="s">
        <v>21</v>
      </c>
      <c r="F545" s="39"/>
      <c r="G545" s="2"/>
      <c r="H545" s="39"/>
      <c r="I545" s="39"/>
      <c r="J545" s="39"/>
      <c r="K545" s="6">
        <f>SUM(K546)</f>
        <v>160840.20000000001</v>
      </c>
    </row>
    <row r="546" spans="1:11" s="26" customFormat="1" ht="31.2" x14ac:dyDescent="0.25">
      <c r="A546" s="109"/>
      <c r="B546" s="40" t="s">
        <v>145</v>
      </c>
      <c r="C546" s="2">
        <v>920</v>
      </c>
      <c r="D546" s="39" t="s">
        <v>5</v>
      </c>
      <c r="E546" s="37" t="s">
        <v>21</v>
      </c>
      <c r="F546" s="39" t="s">
        <v>40</v>
      </c>
      <c r="G546" s="2"/>
      <c r="H546" s="39"/>
      <c r="I546" s="39"/>
      <c r="J546" s="39"/>
      <c r="K546" s="6">
        <f>SUM(K547+K573+K582+K588)</f>
        <v>160840.20000000001</v>
      </c>
    </row>
    <row r="547" spans="1:11" s="26" customFormat="1" ht="31.2" x14ac:dyDescent="0.25">
      <c r="A547" s="109"/>
      <c r="B547" s="40" t="s">
        <v>163</v>
      </c>
      <c r="C547" s="2">
        <v>920</v>
      </c>
      <c r="D547" s="39" t="s">
        <v>5</v>
      </c>
      <c r="E547" s="37" t="s">
        <v>21</v>
      </c>
      <c r="F547" s="39" t="s">
        <v>40</v>
      </c>
      <c r="G547" s="2">
        <v>1</v>
      </c>
      <c r="H547" s="39"/>
      <c r="I547" s="39"/>
      <c r="J547" s="39"/>
      <c r="K547" s="6">
        <f>SUM(K548+K557+K568)</f>
        <v>110243.20000000001</v>
      </c>
    </row>
    <row r="548" spans="1:11" s="26" customFormat="1" ht="31.2" x14ac:dyDescent="0.25">
      <c r="A548" s="109"/>
      <c r="B548" s="40" t="s">
        <v>125</v>
      </c>
      <c r="C548" s="2">
        <v>920</v>
      </c>
      <c r="D548" s="39" t="s">
        <v>5</v>
      </c>
      <c r="E548" s="37" t="s">
        <v>21</v>
      </c>
      <c r="F548" s="39" t="s">
        <v>40</v>
      </c>
      <c r="G548" s="2">
        <v>1</v>
      </c>
      <c r="H548" s="39" t="s">
        <v>2</v>
      </c>
      <c r="I548" s="39"/>
      <c r="J548" s="39"/>
      <c r="K548" s="6">
        <f>SUM(K549+K555+K553)</f>
        <v>80115.900000000009</v>
      </c>
    </row>
    <row r="549" spans="1:11" s="26" customFormat="1" ht="46.8" x14ac:dyDescent="0.25">
      <c r="A549" s="109"/>
      <c r="B549" s="40" t="s">
        <v>66</v>
      </c>
      <c r="C549" s="2">
        <v>920</v>
      </c>
      <c r="D549" s="39" t="s">
        <v>5</v>
      </c>
      <c r="E549" s="37" t="s">
        <v>21</v>
      </c>
      <c r="F549" s="39" t="s">
        <v>40</v>
      </c>
      <c r="G549" s="2">
        <v>1</v>
      </c>
      <c r="H549" s="39" t="s">
        <v>2</v>
      </c>
      <c r="I549" s="39" t="s">
        <v>85</v>
      </c>
      <c r="J549" s="39"/>
      <c r="K549" s="6">
        <f t="shared" ref="K549" si="25">SUM(K550:K552)</f>
        <v>71153.3</v>
      </c>
    </row>
    <row r="550" spans="1:11" s="26" customFormat="1" ht="51" customHeight="1" x14ac:dyDescent="0.25">
      <c r="A550" s="109"/>
      <c r="B550" s="1" t="s">
        <v>122</v>
      </c>
      <c r="C550" s="2">
        <v>920</v>
      </c>
      <c r="D550" s="39" t="s">
        <v>5</v>
      </c>
      <c r="E550" s="37" t="s">
        <v>21</v>
      </c>
      <c r="F550" s="39" t="s">
        <v>40</v>
      </c>
      <c r="G550" s="2">
        <v>1</v>
      </c>
      <c r="H550" s="39" t="s">
        <v>2</v>
      </c>
      <c r="I550" s="39" t="s">
        <v>85</v>
      </c>
      <c r="J550" s="39" t="s">
        <v>48</v>
      </c>
      <c r="K550" s="6">
        <f>16720.4+43273.4</f>
        <v>59993.8</v>
      </c>
    </row>
    <row r="551" spans="1:11" s="26" customFormat="1" ht="31.2" x14ac:dyDescent="0.25">
      <c r="A551" s="109"/>
      <c r="B551" s="1" t="s">
        <v>123</v>
      </c>
      <c r="C551" s="2">
        <v>920</v>
      </c>
      <c r="D551" s="39" t="s">
        <v>5</v>
      </c>
      <c r="E551" s="37" t="s">
        <v>21</v>
      </c>
      <c r="F551" s="39" t="s">
        <v>40</v>
      </c>
      <c r="G551" s="2">
        <v>1</v>
      </c>
      <c r="H551" s="39" t="s">
        <v>2</v>
      </c>
      <c r="I551" s="39" t="s">
        <v>85</v>
      </c>
      <c r="J551" s="39" t="s">
        <v>49</v>
      </c>
      <c r="K551" s="6">
        <f>17748-16720.4+16071.5-8689.7+0.3+0.9+7.4+1.9+3079.3-5+65.2-4.2+1.4-5.9-31.4-574.3</f>
        <v>10944.999999999998</v>
      </c>
    </row>
    <row r="552" spans="1:11" s="26" customFormat="1" x14ac:dyDescent="0.25">
      <c r="A552" s="109"/>
      <c r="B552" s="1" t="s">
        <v>50</v>
      </c>
      <c r="C552" s="2">
        <v>920</v>
      </c>
      <c r="D552" s="39" t="s">
        <v>5</v>
      </c>
      <c r="E552" s="37" t="s">
        <v>21</v>
      </c>
      <c r="F552" s="39" t="s">
        <v>40</v>
      </c>
      <c r="G552" s="2">
        <v>1</v>
      </c>
      <c r="H552" s="39" t="s">
        <v>2</v>
      </c>
      <c r="I552" s="39" t="s">
        <v>85</v>
      </c>
      <c r="J552" s="39" t="s">
        <v>51</v>
      </c>
      <c r="K552" s="6">
        <f>168+5+4.2+5.9+31.4+40.8-40.8</f>
        <v>214.5</v>
      </c>
    </row>
    <row r="553" spans="1:11" s="26" customFormat="1" x14ac:dyDescent="0.25">
      <c r="A553" s="109"/>
      <c r="B553" s="1" t="s">
        <v>512</v>
      </c>
      <c r="C553" s="2">
        <v>920</v>
      </c>
      <c r="D553" s="39" t="s">
        <v>5</v>
      </c>
      <c r="E553" s="37" t="s">
        <v>21</v>
      </c>
      <c r="F553" s="39" t="s">
        <v>40</v>
      </c>
      <c r="G553" s="2">
        <v>1</v>
      </c>
      <c r="H553" s="39" t="s">
        <v>2</v>
      </c>
      <c r="I553" s="39" t="s">
        <v>160</v>
      </c>
      <c r="J553" s="39"/>
      <c r="K553" s="6">
        <f>SUM(K554)</f>
        <v>728.6</v>
      </c>
    </row>
    <row r="554" spans="1:11" s="26" customFormat="1" ht="31.2" x14ac:dyDescent="0.25">
      <c r="A554" s="109"/>
      <c r="B554" s="1" t="s">
        <v>123</v>
      </c>
      <c r="C554" s="2">
        <v>920</v>
      </c>
      <c r="D554" s="39" t="s">
        <v>5</v>
      </c>
      <c r="E554" s="37" t="s">
        <v>21</v>
      </c>
      <c r="F554" s="39" t="s">
        <v>40</v>
      </c>
      <c r="G554" s="2">
        <v>1</v>
      </c>
      <c r="H554" s="39" t="s">
        <v>2</v>
      </c>
      <c r="I554" s="39" t="s">
        <v>160</v>
      </c>
      <c r="J554" s="39" t="s">
        <v>49</v>
      </c>
      <c r="K554" s="6">
        <v>728.6</v>
      </c>
    </row>
    <row r="555" spans="1:11" s="26" customFormat="1" ht="46.8" x14ac:dyDescent="0.25">
      <c r="A555" s="109"/>
      <c r="B555" s="1" t="s">
        <v>513</v>
      </c>
      <c r="C555" s="2">
        <v>920</v>
      </c>
      <c r="D555" s="39" t="s">
        <v>5</v>
      </c>
      <c r="E555" s="37" t="s">
        <v>21</v>
      </c>
      <c r="F555" s="37" t="s">
        <v>40</v>
      </c>
      <c r="G555" s="37" t="s">
        <v>90</v>
      </c>
      <c r="H555" s="37" t="s">
        <v>2</v>
      </c>
      <c r="I555" s="37" t="s">
        <v>137</v>
      </c>
      <c r="J555" s="39"/>
      <c r="K555" s="6">
        <f>SUM(K556:K556)</f>
        <v>8234</v>
      </c>
    </row>
    <row r="556" spans="1:11" s="26" customFormat="1" ht="31.2" x14ac:dyDescent="0.25">
      <c r="A556" s="109"/>
      <c r="B556" s="1" t="s">
        <v>123</v>
      </c>
      <c r="C556" s="2">
        <v>920</v>
      </c>
      <c r="D556" s="39" t="s">
        <v>5</v>
      </c>
      <c r="E556" s="37" t="s">
        <v>21</v>
      </c>
      <c r="F556" s="37" t="s">
        <v>40</v>
      </c>
      <c r="G556" s="37" t="s">
        <v>90</v>
      </c>
      <c r="H556" s="37" t="s">
        <v>2</v>
      </c>
      <c r="I556" s="37" t="s">
        <v>137</v>
      </c>
      <c r="J556" s="39" t="s">
        <v>49</v>
      </c>
      <c r="K556" s="6">
        <f>8689.7+(-453.7-42.8)+40.8</f>
        <v>8234</v>
      </c>
    </row>
    <row r="557" spans="1:11" s="26" customFormat="1" ht="46.8" x14ac:dyDescent="0.25">
      <c r="A557" s="109"/>
      <c r="B557" s="1" t="s">
        <v>379</v>
      </c>
      <c r="C557" s="2">
        <v>920</v>
      </c>
      <c r="D557" s="39" t="s">
        <v>5</v>
      </c>
      <c r="E557" s="37" t="s">
        <v>21</v>
      </c>
      <c r="F557" s="39" t="s">
        <v>40</v>
      </c>
      <c r="G557" s="2">
        <v>1</v>
      </c>
      <c r="H557" s="39" t="s">
        <v>4</v>
      </c>
      <c r="I557" s="39"/>
      <c r="J557" s="39"/>
      <c r="K557" s="6">
        <f>SUM(K558+K562+K564+K566)</f>
        <v>8364.5</v>
      </c>
    </row>
    <row r="558" spans="1:11" s="26" customFormat="1" x14ac:dyDescent="0.25">
      <c r="A558" s="109"/>
      <c r="B558" s="1" t="s">
        <v>47</v>
      </c>
      <c r="C558" s="2">
        <v>920</v>
      </c>
      <c r="D558" s="39" t="s">
        <v>5</v>
      </c>
      <c r="E558" s="37" t="s">
        <v>21</v>
      </c>
      <c r="F558" s="39" t="s">
        <v>40</v>
      </c>
      <c r="G558" s="2">
        <v>1</v>
      </c>
      <c r="H558" s="39" t="s">
        <v>4</v>
      </c>
      <c r="I558" s="39" t="s">
        <v>78</v>
      </c>
      <c r="J558" s="39"/>
      <c r="K558" s="6">
        <f>SUM(K559:K561)</f>
        <v>8210</v>
      </c>
    </row>
    <row r="559" spans="1:11" s="26" customFormat="1" ht="49.5" customHeight="1" x14ac:dyDescent="0.25">
      <c r="A559" s="109"/>
      <c r="B559" s="1" t="s">
        <v>122</v>
      </c>
      <c r="C559" s="2">
        <v>920</v>
      </c>
      <c r="D559" s="39" t="s">
        <v>5</v>
      </c>
      <c r="E559" s="37" t="s">
        <v>21</v>
      </c>
      <c r="F559" s="39" t="s">
        <v>40</v>
      </c>
      <c r="G559" s="2">
        <v>1</v>
      </c>
      <c r="H559" s="39" t="s">
        <v>4</v>
      </c>
      <c r="I559" s="39" t="s">
        <v>78</v>
      </c>
      <c r="J559" s="39" t="s">
        <v>48</v>
      </c>
      <c r="K559" s="6">
        <v>7946.5</v>
      </c>
    </row>
    <row r="560" spans="1:11" s="26" customFormat="1" ht="31.2" x14ac:dyDescent="0.25">
      <c r="A560" s="109"/>
      <c r="B560" s="1" t="s">
        <v>123</v>
      </c>
      <c r="C560" s="2">
        <v>920</v>
      </c>
      <c r="D560" s="39" t="s">
        <v>5</v>
      </c>
      <c r="E560" s="37" t="s">
        <v>21</v>
      </c>
      <c r="F560" s="39" t="s">
        <v>40</v>
      </c>
      <c r="G560" s="2">
        <v>1</v>
      </c>
      <c r="H560" s="39" t="s">
        <v>4</v>
      </c>
      <c r="I560" s="39" t="s">
        <v>78</v>
      </c>
      <c r="J560" s="39" t="s">
        <v>49</v>
      </c>
      <c r="K560" s="6">
        <f>8209.9-7948.5-0.1+0.1</f>
        <v>261.39999999999964</v>
      </c>
    </row>
    <row r="561" spans="1:12" s="26" customFormat="1" x14ac:dyDescent="0.25">
      <c r="A561" s="109"/>
      <c r="B561" s="1" t="s">
        <v>50</v>
      </c>
      <c r="C561" s="2">
        <v>920</v>
      </c>
      <c r="D561" s="39" t="s">
        <v>5</v>
      </c>
      <c r="E561" s="37" t="s">
        <v>21</v>
      </c>
      <c r="F561" s="39" t="s">
        <v>40</v>
      </c>
      <c r="G561" s="2">
        <v>1</v>
      </c>
      <c r="H561" s="39" t="s">
        <v>4</v>
      </c>
      <c r="I561" s="39" t="s">
        <v>78</v>
      </c>
      <c r="J561" s="39" t="s">
        <v>51</v>
      </c>
      <c r="K561" s="6">
        <f>2+0.1</f>
        <v>2.1</v>
      </c>
    </row>
    <row r="562" spans="1:12" s="26" customFormat="1" x14ac:dyDescent="0.25">
      <c r="A562" s="109"/>
      <c r="B562" s="1" t="s">
        <v>234</v>
      </c>
      <c r="C562" s="2">
        <v>920</v>
      </c>
      <c r="D562" s="37" t="s">
        <v>5</v>
      </c>
      <c r="E562" s="37" t="s">
        <v>21</v>
      </c>
      <c r="F562" s="37" t="s">
        <v>40</v>
      </c>
      <c r="G562" s="38">
        <v>1</v>
      </c>
      <c r="H562" s="37" t="s">
        <v>4</v>
      </c>
      <c r="I562" s="37" t="s">
        <v>233</v>
      </c>
      <c r="J562" s="37"/>
      <c r="K562" s="6">
        <f>K563</f>
        <v>28.3</v>
      </c>
    </row>
    <row r="563" spans="1:12" s="26" customFormat="1" ht="31.2" x14ac:dyDescent="0.25">
      <c r="A563" s="109"/>
      <c r="B563" s="1" t="s">
        <v>123</v>
      </c>
      <c r="C563" s="2">
        <v>920</v>
      </c>
      <c r="D563" s="37" t="s">
        <v>5</v>
      </c>
      <c r="E563" s="37" t="s">
        <v>21</v>
      </c>
      <c r="F563" s="37" t="s">
        <v>40</v>
      </c>
      <c r="G563" s="38">
        <v>1</v>
      </c>
      <c r="H563" s="37" t="s">
        <v>4</v>
      </c>
      <c r="I563" s="37" t="s">
        <v>233</v>
      </c>
      <c r="J563" s="37" t="s">
        <v>49</v>
      </c>
      <c r="K563" s="6">
        <v>28.3</v>
      </c>
    </row>
    <row r="564" spans="1:12" s="26" customFormat="1" ht="31.2" x14ac:dyDescent="0.25">
      <c r="A564" s="109"/>
      <c r="B564" s="44" t="s">
        <v>241</v>
      </c>
      <c r="C564" s="2">
        <v>920</v>
      </c>
      <c r="D564" s="37" t="s">
        <v>5</v>
      </c>
      <c r="E564" s="37" t="s">
        <v>21</v>
      </c>
      <c r="F564" s="37" t="s">
        <v>40</v>
      </c>
      <c r="G564" s="37" t="s">
        <v>90</v>
      </c>
      <c r="H564" s="37" t="s">
        <v>4</v>
      </c>
      <c r="I564" s="37" t="s">
        <v>240</v>
      </c>
      <c r="J564" s="37"/>
      <c r="K564" s="6">
        <f>K565</f>
        <v>126.2</v>
      </c>
    </row>
    <row r="565" spans="1:12" s="26" customFormat="1" ht="31.2" x14ac:dyDescent="0.25">
      <c r="A565" s="109"/>
      <c r="B565" s="1" t="s">
        <v>123</v>
      </c>
      <c r="C565" s="2">
        <v>920</v>
      </c>
      <c r="D565" s="37" t="s">
        <v>5</v>
      </c>
      <c r="E565" s="37" t="s">
        <v>21</v>
      </c>
      <c r="F565" s="37" t="s">
        <v>40</v>
      </c>
      <c r="G565" s="37" t="s">
        <v>90</v>
      </c>
      <c r="H565" s="37" t="s">
        <v>4</v>
      </c>
      <c r="I565" s="37" t="s">
        <v>240</v>
      </c>
      <c r="J565" s="37" t="s">
        <v>49</v>
      </c>
      <c r="K565" s="6">
        <v>126.2</v>
      </c>
    </row>
    <row r="566" spans="1:12" s="26" customFormat="1" ht="31.2" x14ac:dyDescent="0.25">
      <c r="A566" s="109"/>
      <c r="B566" s="1" t="s">
        <v>238</v>
      </c>
      <c r="C566" s="2">
        <v>920</v>
      </c>
      <c r="D566" s="37" t="s">
        <v>5</v>
      </c>
      <c r="E566" s="37" t="s">
        <v>21</v>
      </c>
      <c r="F566" s="37" t="s">
        <v>40</v>
      </c>
      <c r="G566" s="37" t="s">
        <v>90</v>
      </c>
      <c r="H566" s="37" t="s">
        <v>4</v>
      </c>
      <c r="I566" s="37" t="s">
        <v>239</v>
      </c>
      <c r="J566" s="37"/>
      <c r="K566" s="6">
        <f>K567</f>
        <v>0</v>
      </c>
    </row>
    <row r="567" spans="1:12" s="26" customFormat="1" ht="31.2" x14ac:dyDescent="0.25">
      <c r="A567" s="109"/>
      <c r="B567" s="1" t="s">
        <v>123</v>
      </c>
      <c r="C567" s="2">
        <v>920</v>
      </c>
      <c r="D567" s="37" t="s">
        <v>5</v>
      </c>
      <c r="E567" s="37" t="s">
        <v>21</v>
      </c>
      <c r="F567" s="37" t="s">
        <v>40</v>
      </c>
      <c r="G567" s="37" t="s">
        <v>90</v>
      </c>
      <c r="H567" s="37" t="s">
        <v>4</v>
      </c>
      <c r="I567" s="37" t="s">
        <v>239</v>
      </c>
      <c r="J567" s="37" t="s">
        <v>49</v>
      </c>
      <c r="K567" s="6"/>
    </row>
    <row r="568" spans="1:12" s="26" customFormat="1" ht="46.8" x14ac:dyDescent="0.25">
      <c r="A568" s="109"/>
      <c r="B568" s="1" t="s">
        <v>619</v>
      </c>
      <c r="C568" s="2">
        <v>920</v>
      </c>
      <c r="D568" s="37" t="s">
        <v>5</v>
      </c>
      <c r="E568" s="37" t="s">
        <v>21</v>
      </c>
      <c r="F568" s="37" t="s">
        <v>40</v>
      </c>
      <c r="G568" s="37" t="s">
        <v>90</v>
      </c>
      <c r="H568" s="37" t="s">
        <v>5</v>
      </c>
      <c r="I568" s="37"/>
      <c r="J568" s="37"/>
      <c r="K568" s="6">
        <f>K569+K571</f>
        <v>21762.799999999999</v>
      </c>
    </row>
    <row r="569" spans="1:12" s="26" customFormat="1" x14ac:dyDescent="0.25">
      <c r="A569" s="109"/>
      <c r="B569" s="1" t="s">
        <v>598</v>
      </c>
      <c r="C569" s="2">
        <v>920</v>
      </c>
      <c r="D569" s="37" t="s">
        <v>5</v>
      </c>
      <c r="E569" s="37" t="s">
        <v>21</v>
      </c>
      <c r="F569" s="37" t="s">
        <v>40</v>
      </c>
      <c r="G569" s="37" t="s">
        <v>90</v>
      </c>
      <c r="H569" s="37" t="s">
        <v>5</v>
      </c>
      <c r="I569" s="37" t="s">
        <v>616</v>
      </c>
      <c r="J569" s="37"/>
      <c r="K569" s="6">
        <f>K570</f>
        <v>21309.1</v>
      </c>
    </row>
    <row r="570" spans="1:12" s="26" customFormat="1" ht="31.2" x14ac:dyDescent="0.25">
      <c r="A570" s="109"/>
      <c r="B570" s="1" t="s">
        <v>123</v>
      </c>
      <c r="C570" s="2">
        <v>920</v>
      </c>
      <c r="D570" s="37" t="s">
        <v>5</v>
      </c>
      <c r="E570" s="37" t="s">
        <v>21</v>
      </c>
      <c r="F570" s="37" t="s">
        <v>40</v>
      </c>
      <c r="G570" s="37" t="s">
        <v>90</v>
      </c>
      <c r="H570" s="37" t="s">
        <v>5</v>
      </c>
      <c r="I570" s="37" t="s">
        <v>616</v>
      </c>
      <c r="J570" s="37" t="s">
        <v>49</v>
      </c>
      <c r="K570" s="6">
        <v>21309.1</v>
      </c>
    </row>
    <row r="571" spans="1:12" s="26" customFormat="1" ht="31.2" x14ac:dyDescent="0.25">
      <c r="A571" s="109"/>
      <c r="B571" s="1" t="s">
        <v>649</v>
      </c>
      <c r="C571" s="2">
        <v>920</v>
      </c>
      <c r="D571" s="37" t="s">
        <v>5</v>
      </c>
      <c r="E571" s="37" t="s">
        <v>21</v>
      </c>
      <c r="F571" s="37" t="s">
        <v>40</v>
      </c>
      <c r="G571" s="37" t="s">
        <v>90</v>
      </c>
      <c r="H571" s="37" t="s">
        <v>5</v>
      </c>
      <c r="I571" s="37" t="s">
        <v>650</v>
      </c>
      <c r="J571" s="37"/>
      <c r="K571" s="6">
        <f>K572</f>
        <v>453.7</v>
      </c>
      <c r="L571" s="26" t="s">
        <v>633</v>
      </c>
    </row>
    <row r="572" spans="1:12" s="26" customFormat="1" ht="31.2" x14ac:dyDescent="0.25">
      <c r="A572" s="109"/>
      <c r="B572" s="1" t="s">
        <v>123</v>
      </c>
      <c r="C572" s="2">
        <v>920</v>
      </c>
      <c r="D572" s="37" t="s">
        <v>5</v>
      </c>
      <c r="E572" s="37" t="s">
        <v>21</v>
      </c>
      <c r="F572" s="37" t="s">
        <v>40</v>
      </c>
      <c r="G572" s="37" t="s">
        <v>90</v>
      </c>
      <c r="H572" s="37" t="s">
        <v>5</v>
      </c>
      <c r="I572" s="37" t="s">
        <v>650</v>
      </c>
      <c r="J572" s="37" t="s">
        <v>49</v>
      </c>
      <c r="K572" s="6">
        <v>453.7</v>
      </c>
    </row>
    <row r="573" spans="1:12" s="26" customFormat="1" x14ac:dyDescent="0.25">
      <c r="A573" s="109"/>
      <c r="B573" s="40" t="s">
        <v>164</v>
      </c>
      <c r="C573" s="2">
        <v>920</v>
      </c>
      <c r="D573" s="39" t="s">
        <v>5</v>
      </c>
      <c r="E573" s="37" t="s">
        <v>21</v>
      </c>
      <c r="F573" s="39" t="s">
        <v>40</v>
      </c>
      <c r="G573" s="2">
        <v>2</v>
      </c>
      <c r="H573" s="39"/>
      <c r="I573" s="39"/>
      <c r="J573" s="39"/>
      <c r="K573" s="6">
        <f>SUM(K574+K579)</f>
        <v>11088.2</v>
      </c>
    </row>
    <row r="574" spans="1:12" s="26" customFormat="1" ht="48.75" customHeight="1" x14ac:dyDescent="0.25">
      <c r="A574" s="109"/>
      <c r="B574" s="40" t="s">
        <v>480</v>
      </c>
      <c r="C574" s="2">
        <v>920</v>
      </c>
      <c r="D574" s="39" t="s">
        <v>5</v>
      </c>
      <c r="E574" s="37" t="s">
        <v>21</v>
      </c>
      <c r="F574" s="39" t="s">
        <v>40</v>
      </c>
      <c r="G574" s="2">
        <v>2</v>
      </c>
      <c r="H574" s="39" t="s">
        <v>2</v>
      </c>
      <c r="I574" s="39"/>
      <c r="J574" s="39"/>
      <c r="K574" s="6">
        <f>SUM(K575)</f>
        <v>11088.2</v>
      </c>
    </row>
    <row r="575" spans="1:12" s="26" customFormat="1" ht="46.8" x14ac:dyDescent="0.25">
      <c r="A575" s="109"/>
      <c r="B575" s="1" t="s">
        <v>66</v>
      </c>
      <c r="C575" s="2">
        <v>920</v>
      </c>
      <c r="D575" s="39" t="s">
        <v>5</v>
      </c>
      <c r="E575" s="37" t="s">
        <v>21</v>
      </c>
      <c r="F575" s="39" t="s">
        <v>40</v>
      </c>
      <c r="G575" s="2">
        <v>2</v>
      </c>
      <c r="H575" s="39" t="s">
        <v>2</v>
      </c>
      <c r="I575" s="39" t="s">
        <v>85</v>
      </c>
      <c r="J575" s="39"/>
      <c r="K575" s="6">
        <f>SUM(K576:K578)</f>
        <v>11088.2</v>
      </c>
    </row>
    <row r="576" spans="1:12" s="26" customFormat="1" ht="49.5" customHeight="1" x14ac:dyDescent="0.25">
      <c r="A576" s="109"/>
      <c r="B576" s="1" t="s">
        <v>122</v>
      </c>
      <c r="C576" s="2">
        <v>920</v>
      </c>
      <c r="D576" s="39" t="s">
        <v>5</v>
      </c>
      <c r="E576" s="37" t="s">
        <v>21</v>
      </c>
      <c r="F576" s="39" t="s">
        <v>40</v>
      </c>
      <c r="G576" s="2">
        <v>2</v>
      </c>
      <c r="H576" s="39" t="s">
        <v>2</v>
      </c>
      <c r="I576" s="39" t="s">
        <v>85</v>
      </c>
      <c r="J576" s="39" t="s">
        <v>48</v>
      </c>
      <c r="K576" s="6">
        <v>10233.299999999999</v>
      </c>
    </row>
    <row r="577" spans="1:11" s="26" customFormat="1" ht="31.2" x14ac:dyDescent="0.25">
      <c r="A577" s="109"/>
      <c r="B577" s="1" t="s">
        <v>123</v>
      </c>
      <c r="C577" s="2">
        <v>920</v>
      </c>
      <c r="D577" s="39" t="s">
        <v>5</v>
      </c>
      <c r="E577" s="37" t="s">
        <v>21</v>
      </c>
      <c r="F577" s="39" t="s">
        <v>40</v>
      </c>
      <c r="G577" s="2">
        <v>2</v>
      </c>
      <c r="H577" s="39" t="s">
        <v>2</v>
      </c>
      <c r="I577" s="39" t="s">
        <v>85</v>
      </c>
      <c r="J577" s="39" t="s">
        <v>49</v>
      </c>
      <c r="K577" s="6">
        <f>11000.6-10233.3+48+39.6</f>
        <v>854.90000000000111</v>
      </c>
    </row>
    <row r="578" spans="1:11" s="26" customFormat="1" x14ac:dyDescent="0.25">
      <c r="A578" s="109"/>
      <c r="B578" s="1" t="s">
        <v>50</v>
      </c>
      <c r="C578" s="2">
        <v>920</v>
      </c>
      <c r="D578" s="39" t="s">
        <v>5</v>
      </c>
      <c r="E578" s="37" t="s">
        <v>21</v>
      </c>
      <c r="F578" s="39" t="s">
        <v>40</v>
      </c>
      <c r="G578" s="2">
        <v>2</v>
      </c>
      <c r="H578" s="39" t="s">
        <v>2</v>
      </c>
      <c r="I578" s="39" t="s">
        <v>85</v>
      </c>
      <c r="J578" s="39" t="s">
        <v>51</v>
      </c>
      <c r="K578" s="6"/>
    </row>
    <row r="579" spans="1:11" s="26" customFormat="1" ht="31.2" x14ac:dyDescent="0.25">
      <c r="A579" s="109"/>
      <c r="B579" s="1" t="s">
        <v>195</v>
      </c>
      <c r="C579" s="2">
        <v>920</v>
      </c>
      <c r="D579" s="39" t="s">
        <v>5</v>
      </c>
      <c r="E579" s="37" t="s">
        <v>21</v>
      </c>
      <c r="F579" s="39" t="s">
        <v>40</v>
      </c>
      <c r="G579" s="2">
        <v>2</v>
      </c>
      <c r="H579" s="39" t="s">
        <v>4</v>
      </c>
      <c r="I579" s="39"/>
      <c r="J579" s="39"/>
      <c r="K579" s="6">
        <f>K580</f>
        <v>0</v>
      </c>
    </row>
    <row r="580" spans="1:11" s="26" customFormat="1" ht="46.8" x14ac:dyDescent="0.25">
      <c r="A580" s="109"/>
      <c r="B580" s="1" t="s">
        <v>279</v>
      </c>
      <c r="C580" s="2">
        <v>920</v>
      </c>
      <c r="D580" s="39" t="s">
        <v>5</v>
      </c>
      <c r="E580" s="37" t="s">
        <v>21</v>
      </c>
      <c r="F580" s="39" t="s">
        <v>40</v>
      </c>
      <c r="G580" s="2">
        <v>2</v>
      </c>
      <c r="H580" s="39" t="s">
        <v>4</v>
      </c>
      <c r="I580" s="39" t="s">
        <v>155</v>
      </c>
      <c r="J580" s="39"/>
      <c r="K580" s="6">
        <f>K581</f>
        <v>0</v>
      </c>
    </row>
    <row r="581" spans="1:11" s="26" customFormat="1" x14ac:dyDescent="0.25">
      <c r="A581" s="109"/>
      <c r="B581" s="1" t="s">
        <v>55</v>
      </c>
      <c r="C581" s="2">
        <v>920</v>
      </c>
      <c r="D581" s="39" t="s">
        <v>5</v>
      </c>
      <c r="E581" s="37" t="s">
        <v>21</v>
      </c>
      <c r="F581" s="39" t="s">
        <v>40</v>
      </c>
      <c r="G581" s="2">
        <v>2</v>
      </c>
      <c r="H581" s="39" t="s">
        <v>4</v>
      </c>
      <c r="I581" s="39" t="s">
        <v>155</v>
      </c>
      <c r="J581" s="39" t="s">
        <v>56</v>
      </c>
      <c r="K581" s="6"/>
    </row>
    <row r="582" spans="1:11" s="26" customFormat="1" x14ac:dyDescent="0.25">
      <c r="A582" s="109"/>
      <c r="B582" s="40" t="s">
        <v>165</v>
      </c>
      <c r="C582" s="2">
        <v>920</v>
      </c>
      <c r="D582" s="39" t="s">
        <v>5</v>
      </c>
      <c r="E582" s="37" t="s">
        <v>21</v>
      </c>
      <c r="F582" s="39" t="s">
        <v>40</v>
      </c>
      <c r="G582" s="2">
        <v>3</v>
      </c>
      <c r="H582" s="39"/>
      <c r="I582" s="39"/>
      <c r="J582" s="39"/>
      <c r="K582" s="6">
        <f t="shared" ref="K582" si="26">SUM(K583)</f>
        <v>38010.299999999996</v>
      </c>
    </row>
    <row r="583" spans="1:11" s="26" customFormat="1" ht="78" x14ac:dyDescent="0.25">
      <c r="A583" s="109"/>
      <c r="B583" s="54" t="s">
        <v>105</v>
      </c>
      <c r="C583" s="2">
        <v>920</v>
      </c>
      <c r="D583" s="39" t="s">
        <v>5</v>
      </c>
      <c r="E583" s="37" t="s">
        <v>21</v>
      </c>
      <c r="F583" s="39" t="s">
        <v>40</v>
      </c>
      <c r="G583" s="2">
        <v>3</v>
      </c>
      <c r="H583" s="39" t="s">
        <v>2</v>
      </c>
      <c r="I583" s="39"/>
      <c r="J583" s="39"/>
      <c r="K583" s="6">
        <f>SUM(K584)</f>
        <v>38010.299999999996</v>
      </c>
    </row>
    <row r="584" spans="1:11" s="26" customFormat="1" ht="46.8" x14ac:dyDescent="0.25">
      <c r="A584" s="109"/>
      <c r="B584" s="1" t="s">
        <v>66</v>
      </c>
      <c r="C584" s="2">
        <v>920</v>
      </c>
      <c r="D584" s="39" t="s">
        <v>5</v>
      </c>
      <c r="E584" s="37" t="s">
        <v>21</v>
      </c>
      <c r="F584" s="39" t="s">
        <v>40</v>
      </c>
      <c r="G584" s="2">
        <v>3</v>
      </c>
      <c r="H584" s="39" t="s">
        <v>2</v>
      </c>
      <c r="I584" s="39" t="s">
        <v>85</v>
      </c>
      <c r="J584" s="39"/>
      <c r="K584" s="6">
        <f>SUM(K585:K587)</f>
        <v>38010.299999999996</v>
      </c>
    </row>
    <row r="585" spans="1:11" s="26" customFormat="1" ht="49.5" customHeight="1" x14ac:dyDescent="0.25">
      <c r="A585" s="109"/>
      <c r="B585" s="1" t="s">
        <v>122</v>
      </c>
      <c r="C585" s="2">
        <v>920</v>
      </c>
      <c r="D585" s="39" t="s">
        <v>5</v>
      </c>
      <c r="E585" s="37" t="s">
        <v>21</v>
      </c>
      <c r="F585" s="39" t="s">
        <v>40</v>
      </c>
      <c r="G585" s="2">
        <v>3</v>
      </c>
      <c r="H585" s="39" t="s">
        <v>2</v>
      </c>
      <c r="I585" s="39" t="s">
        <v>85</v>
      </c>
      <c r="J585" s="39" t="s">
        <v>48</v>
      </c>
      <c r="K585" s="6">
        <v>26113.599999999999</v>
      </c>
    </row>
    <row r="586" spans="1:11" s="26" customFormat="1" ht="31.2" x14ac:dyDescent="0.25">
      <c r="A586" s="109"/>
      <c r="B586" s="1" t="s">
        <v>123</v>
      </c>
      <c r="C586" s="2">
        <v>920</v>
      </c>
      <c r="D586" s="39" t="s">
        <v>5</v>
      </c>
      <c r="E586" s="37" t="s">
        <v>21</v>
      </c>
      <c r="F586" s="39" t="s">
        <v>40</v>
      </c>
      <c r="G586" s="2">
        <v>3</v>
      </c>
      <c r="H586" s="39" t="s">
        <v>2</v>
      </c>
      <c r="I586" s="39" t="s">
        <v>85</v>
      </c>
      <c r="J586" s="39" t="s">
        <v>49</v>
      </c>
      <c r="K586" s="6">
        <f>37838-26170.8+1.3+21.9+43.4+105.1-1.4</f>
        <v>11837.5</v>
      </c>
    </row>
    <row r="587" spans="1:11" s="26" customFormat="1" x14ac:dyDescent="0.25">
      <c r="A587" s="109"/>
      <c r="B587" s="1" t="s">
        <v>50</v>
      </c>
      <c r="C587" s="2">
        <v>920</v>
      </c>
      <c r="D587" s="39" t="s">
        <v>5</v>
      </c>
      <c r="E587" s="37" t="s">
        <v>21</v>
      </c>
      <c r="F587" s="39" t="s">
        <v>40</v>
      </c>
      <c r="G587" s="2">
        <v>3</v>
      </c>
      <c r="H587" s="39" t="s">
        <v>2</v>
      </c>
      <c r="I587" s="39" t="s">
        <v>85</v>
      </c>
      <c r="J587" s="39" t="s">
        <v>51</v>
      </c>
      <c r="K587" s="6">
        <f>57.2+2</f>
        <v>59.2</v>
      </c>
    </row>
    <row r="588" spans="1:11" s="26" customFormat="1" ht="46.8" x14ac:dyDescent="0.25">
      <c r="A588" s="109"/>
      <c r="B588" s="40" t="s">
        <v>607</v>
      </c>
      <c r="C588" s="39" t="s">
        <v>606</v>
      </c>
      <c r="D588" s="39" t="s">
        <v>5</v>
      </c>
      <c r="E588" s="37" t="s">
        <v>21</v>
      </c>
      <c r="F588" s="39" t="s">
        <v>40</v>
      </c>
      <c r="G588" s="39" t="s">
        <v>95</v>
      </c>
      <c r="H588" s="39"/>
      <c r="I588" s="39"/>
      <c r="J588" s="39"/>
      <c r="K588" s="6">
        <f>K589</f>
        <v>1498.5</v>
      </c>
    </row>
    <row r="589" spans="1:11" s="26" customFormat="1" ht="31.2" x14ac:dyDescent="0.25">
      <c r="A589" s="109"/>
      <c r="B589" s="40" t="s">
        <v>608</v>
      </c>
      <c r="C589" s="39" t="s">
        <v>606</v>
      </c>
      <c r="D589" s="39" t="s">
        <v>5</v>
      </c>
      <c r="E589" s="37" t="s">
        <v>21</v>
      </c>
      <c r="F589" s="39" t="s">
        <v>40</v>
      </c>
      <c r="G589" s="39" t="s">
        <v>95</v>
      </c>
      <c r="H589" s="39" t="s">
        <v>2</v>
      </c>
      <c r="I589" s="39"/>
      <c r="J589" s="39"/>
      <c r="K589" s="6">
        <f>K590</f>
        <v>1498.5</v>
      </c>
    </row>
    <row r="590" spans="1:11" s="26" customFormat="1" ht="31.2" x14ac:dyDescent="0.25">
      <c r="A590" s="109"/>
      <c r="B590" s="40" t="s">
        <v>610</v>
      </c>
      <c r="C590" s="39" t="s">
        <v>606</v>
      </c>
      <c r="D590" s="39" t="s">
        <v>5</v>
      </c>
      <c r="E590" s="37" t="s">
        <v>21</v>
      </c>
      <c r="F590" s="39" t="s">
        <v>40</v>
      </c>
      <c r="G590" s="39" t="s">
        <v>95</v>
      </c>
      <c r="H590" s="39" t="s">
        <v>2</v>
      </c>
      <c r="I590" s="39" t="s">
        <v>609</v>
      </c>
      <c r="J590" s="39"/>
      <c r="K590" s="6">
        <f>K591</f>
        <v>1498.5</v>
      </c>
    </row>
    <row r="591" spans="1:11" s="26" customFormat="1" ht="31.2" x14ac:dyDescent="0.25">
      <c r="A591" s="109"/>
      <c r="B591" s="1" t="s">
        <v>123</v>
      </c>
      <c r="C591" s="39" t="s">
        <v>606</v>
      </c>
      <c r="D591" s="39" t="s">
        <v>5</v>
      </c>
      <c r="E591" s="37" t="s">
        <v>21</v>
      </c>
      <c r="F591" s="39" t="s">
        <v>40</v>
      </c>
      <c r="G591" s="39" t="s">
        <v>95</v>
      </c>
      <c r="H591" s="39" t="s">
        <v>2</v>
      </c>
      <c r="I591" s="39" t="s">
        <v>609</v>
      </c>
      <c r="J591" s="39" t="s">
        <v>49</v>
      </c>
      <c r="K591" s="6">
        <v>1498.5</v>
      </c>
    </row>
    <row r="592" spans="1:11" s="26" customFormat="1" x14ac:dyDescent="0.25">
      <c r="A592" s="109"/>
      <c r="B592" s="1" t="s">
        <v>18</v>
      </c>
      <c r="C592" s="2">
        <v>920</v>
      </c>
      <c r="D592" s="37" t="s">
        <v>8</v>
      </c>
      <c r="E592" s="37"/>
      <c r="F592" s="37"/>
      <c r="G592" s="37"/>
      <c r="H592" s="37"/>
      <c r="I592" s="37"/>
      <c r="J592" s="37"/>
      <c r="K592" s="6">
        <f t="shared" ref="K592:K597" si="27">SUM(K593)</f>
        <v>87.3</v>
      </c>
    </row>
    <row r="593" spans="1:11" s="26" customFormat="1" ht="19.5" customHeight="1" x14ac:dyDescent="0.25">
      <c r="A593" s="109"/>
      <c r="B593" s="1" t="s">
        <v>235</v>
      </c>
      <c r="C593" s="2">
        <v>920</v>
      </c>
      <c r="D593" s="37" t="s">
        <v>8</v>
      </c>
      <c r="E593" s="37" t="s">
        <v>7</v>
      </c>
      <c r="F593" s="37"/>
      <c r="G593" s="37"/>
      <c r="H593" s="37"/>
      <c r="I593" s="37"/>
      <c r="J593" s="39"/>
      <c r="K593" s="6">
        <f t="shared" si="27"/>
        <v>87.3</v>
      </c>
    </row>
    <row r="594" spans="1:11" s="26" customFormat="1" ht="31.2" x14ac:dyDescent="0.25">
      <c r="A594" s="109"/>
      <c r="B594" s="1" t="s">
        <v>145</v>
      </c>
      <c r="C594" s="2">
        <v>920</v>
      </c>
      <c r="D594" s="37" t="s">
        <v>8</v>
      </c>
      <c r="E594" s="37" t="s">
        <v>7</v>
      </c>
      <c r="F594" s="37" t="s">
        <v>40</v>
      </c>
      <c r="G594" s="37"/>
      <c r="H594" s="37"/>
      <c r="I594" s="37"/>
      <c r="J594" s="39"/>
      <c r="K594" s="6">
        <f t="shared" si="27"/>
        <v>87.3</v>
      </c>
    </row>
    <row r="595" spans="1:11" s="26" customFormat="1" ht="31.2" x14ac:dyDescent="0.25">
      <c r="A595" s="109"/>
      <c r="B595" s="40" t="s">
        <v>163</v>
      </c>
      <c r="C595" s="2">
        <v>920</v>
      </c>
      <c r="D595" s="37" t="s">
        <v>8</v>
      </c>
      <c r="E595" s="37" t="s">
        <v>7</v>
      </c>
      <c r="F595" s="37" t="s">
        <v>40</v>
      </c>
      <c r="G595" s="37" t="s">
        <v>90</v>
      </c>
      <c r="H595" s="37"/>
      <c r="I595" s="37"/>
      <c r="J595" s="39"/>
      <c r="K595" s="6">
        <f t="shared" si="27"/>
        <v>87.3</v>
      </c>
    </row>
    <row r="596" spans="1:11" s="26" customFormat="1" ht="46.8" x14ac:dyDescent="0.25">
      <c r="A596" s="109"/>
      <c r="B596" s="1" t="s">
        <v>379</v>
      </c>
      <c r="C596" s="2">
        <v>920</v>
      </c>
      <c r="D596" s="37" t="s">
        <v>8</v>
      </c>
      <c r="E596" s="37" t="s">
        <v>7</v>
      </c>
      <c r="F596" s="37" t="s">
        <v>40</v>
      </c>
      <c r="G596" s="37" t="s">
        <v>90</v>
      </c>
      <c r="H596" s="37" t="s">
        <v>4</v>
      </c>
      <c r="I596" s="37"/>
      <c r="J596" s="39"/>
      <c r="K596" s="6">
        <f t="shared" si="27"/>
        <v>87.3</v>
      </c>
    </row>
    <row r="597" spans="1:11" s="26" customFormat="1" x14ac:dyDescent="0.25">
      <c r="A597" s="109"/>
      <c r="B597" s="1" t="s">
        <v>237</v>
      </c>
      <c r="C597" s="2">
        <v>920</v>
      </c>
      <c r="D597" s="37" t="s">
        <v>8</v>
      </c>
      <c r="E597" s="37" t="s">
        <v>7</v>
      </c>
      <c r="F597" s="37" t="s">
        <v>40</v>
      </c>
      <c r="G597" s="37" t="s">
        <v>90</v>
      </c>
      <c r="H597" s="37" t="s">
        <v>4</v>
      </c>
      <c r="I597" s="37" t="s">
        <v>236</v>
      </c>
      <c r="J597" s="39"/>
      <c r="K597" s="6">
        <f t="shared" si="27"/>
        <v>87.3</v>
      </c>
    </row>
    <row r="598" spans="1:11" s="26" customFormat="1" ht="31.2" x14ac:dyDescent="0.25">
      <c r="A598" s="109"/>
      <c r="B598" s="1" t="s">
        <v>123</v>
      </c>
      <c r="C598" s="2">
        <v>920</v>
      </c>
      <c r="D598" s="37" t="s">
        <v>8</v>
      </c>
      <c r="E598" s="37" t="s">
        <v>7</v>
      </c>
      <c r="F598" s="37" t="s">
        <v>40</v>
      </c>
      <c r="G598" s="37" t="s">
        <v>90</v>
      </c>
      <c r="H598" s="37" t="s">
        <v>4</v>
      </c>
      <c r="I598" s="37" t="s">
        <v>236</v>
      </c>
      <c r="J598" s="39" t="s">
        <v>49</v>
      </c>
      <c r="K598" s="6">
        <f>87.2+0.1</f>
        <v>87.3</v>
      </c>
    </row>
    <row r="599" spans="1:11" s="26" customFormat="1" ht="31.2" x14ac:dyDescent="0.25">
      <c r="A599" s="103">
        <v>7</v>
      </c>
      <c r="B599" s="1" t="s">
        <v>380</v>
      </c>
      <c r="C599" s="2">
        <v>921</v>
      </c>
      <c r="D599" s="39"/>
      <c r="E599" s="39"/>
      <c r="F599" s="39"/>
      <c r="G599" s="2"/>
      <c r="H599" s="39"/>
      <c r="I599" s="39"/>
      <c r="J599" s="39"/>
      <c r="K599" s="6">
        <f>SUM(K600+K638+K631)</f>
        <v>201392.8</v>
      </c>
    </row>
    <row r="600" spans="1:11" s="26" customFormat="1" x14ac:dyDescent="0.25">
      <c r="A600" s="104"/>
      <c r="B600" s="1" t="s">
        <v>1</v>
      </c>
      <c r="C600" s="2">
        <v>921</v>
      </c>
      <c r="D600" s="39" t="s">
        <v>2</v>
      </c>
      <c r="E600" s="39"/>
      <c r="F600" s="39"/>
      <c r="G600" s="2"/>
      <c r="H600" s="39"/>
      <c r="I600" s="39"/>
      <c r="J600" s="39"/>
      <c r="K600" s="6">
        <f t="shared" ref="K600" si="28">SUM(K601)</f>
        <v>86120.599999999991</v>
      </c>
    </row>
    <row r="601" spans="1:11" s="26" customFormat="1" x14ac:dyDescent="0.25">
      <c r="A601" s="104"/>
      <c r="B601" s="1" t="s">
        <v>9</v>
      </c>
      <c r="C601" s="2">
        <v>921</v>
      </c>
      <c r="D601" s="39" t="s">
        <v>2</v>
      </c>
      <c r="E601" s="39" t="s">
        <v>40</v>
      </c>
      <c r="F601" s="39"/>
      <c r="G601" s="2"/>
      <c r="H601" s="39"/>
      <c r="I601" s="39"/>
      <c r="J601" s="39"/>
      <c r="K601" s="6">
        <f>SUM(K602)</f>
        <v>86120.599999999991</v>
      </c>
    </row>
    <row r="602" spans="1:11" s="26" customFormat="1" ht="16.5" customHeight="1" x14ac:dyDescent="0.25">
      <c r="A602" s="104"/>
      <c r="B602" s="40" t="s">
        <v>166</v>
      </c>
      <c r="C602" s="2">
        <v>921</v>
      </c>
      <c r="D602" s="39" t="s">
        <v>2</v>
      </c>
      <c r="E602" s="39" t="s">
        <v>40</v>
      </c>
      <c r="F602" s="39" t="s">
        <v>92</v>
      </c>
      <c r="G602" s="2"/>
      <c r="H602" s="39"/>
      <c r="I602" s="39"/>
      <c r="J602" s="39"/>
      <c r="K602" s="6">
        <f>K603</f>
        <v>86120.599999999991</v>
      </c>
    </row>
    <row r="603" spans="1:11" s="26" customFormat="1" ht="46.8" x14ac:dyDescent="0.25">
      <c r="A603" s="104"/>
      <c r="B603" s="40" t="s">
        <v>529</v>
      </c>
      <c r="C603" s="2">
        <v>921</v>
      </c>
      <c r="D603" s="39" t="s">
        <v>2</v>
      </c>
      <c r="E603" s="39" t="s">
        <v>40</v>
      </c>
      <c r="F603" s="39" t="s">
        <v>92</v>
      </c>
      <c r="G603" s="2">
        <v>1</v>
      </c>
      <c r="H603" s="39"/>
      <c r="I603" s="39"/>
      <c r="J603" s="39"/>
      <c r="K603" s="6">
        <f>SUM(K604+K616+K623+K628)</f>
        <v>86120.599999999991</v>
      </c>
    </row>
    <row r="604" spans="1:11" s="26" customFormat="1" x14ac:dyDescent="0.25">
      <c r="A604" s="104"/>
      <c r="B604" s="40" t="s">
        <v>475</v>
      </c>
      <c r="C604" s="2">
        <v>921</v>
      </c>
      <c r="D604" s="39" t="s">
        <v>2</v>
      </c>
      <c r="E604" s="39" t="s">
        <v>40</v>
      </c>
      <c r="F604" s="39" t="s">
        <v>92</v>
      </c>
      <c r="G604" s="2">
        <v>1</v>
      </c>
      <c r="H604" s="39" t="s">
        <v>2</v>
      </c>
      <c r="I604" s="39"/>
      <c r="J604" s="39"/>
      <c r="K604" s="6">
        <f>SUM(K605+K614+K609)</f>
        <v>61027</v>
      </c>
    </row>
    <row r="605" spans="1:11" s="26" customFormat="1" ht="46.8" x14ac:dyDescent="0.25">
      <c r="A605" s="104"/>
      <c r="B605" s="40" t="s">
        <v>66</v>
      </c>
      <c r="C605" s="2">
        <v>921</v>
      </c>
      <c r="D605" s="39" t="s">
        <v>2</v>
      </c>
      <c r="E605" s="39" t="s">
        <v>40</v>
      </c>
      <c r="F605" s="39" t="s">
        <v>92</v>
      </c>
      <c r="G605" s="2">
        <v>1</v>
      </c>
      <c r="H605" s="39" t="s">
        <v>2</v>
      </c>
      <c r="I605" s="39" t="s">
        <v>85</v>
      </c>
      <c r="J605" s="39"/>
      <c r="K605" s="6">
        <f>SUM(K606:K608)</f>
        <v>20495.099999999999</v>
      </c>
    </row>
    <row r="606" spans="1:11" s="26" customFormat="1" ht="49.5" customHeight="1" x14ac:dyDescent="0.25">
      <c r="A606" s="104"/>
      <c r="B606" s="1" t="s">
        <v>122</v>
      </c>
      <c r="C606" s="2">
        <v>921</v>
      </c>
      <c r="D606" s="39" t="s">
        <v>2</v>
      </c>
      <c r="E606" s="39" t="s">
        <v>40</v>
      </c>
      <c r="F606" s="39" t="s">
        <v>92</v>
      </c>
      <c r="G606" s="2">
        <v>1</v>
      </c>
      <c r="H606" s="39" t="s">
        <v>2</v>
      </c>
      <c r="I606" s="39" t="s">
        <v>85</v>
      </c>
      <c r="J606" s="39" t="s">
        <v>48</v>
      </c>
      <c r="K606" s="6">
        <f>25798.9-25798.9</f>
        <v>0</v>
      </c>
    </row>
    <row r="607" spans="1:11" s="26" customFormat="1" ht="31.2" x14ac:dyDescent="0.25">
      <c r="A607" s="104"/>
      <c r="B607" s="1" t="s">
        <v>123</v>
      </c>
      <c r="C607" s="2">
        <v>921</v>
      </c>
      <c r="D607" s="39" t="s">
        <v>2</v>
      </c>
      <c r="E607" s="39" t="s">
        <v>40</v>
      </c>
      <c r="F607" s="39" t="s">
        <v>92</v>
      </c>
      <c r="G607" s="2">
        <v>1</v>
      </c>
      <c r="H607" s="39" t="s">
        <v>2</v>
      </c>
      <c r="I607" s="39" t="s">
        <v>85</v>
      </c>
      <c r="J607" s="39" t="s">
        <v>49</v>
      </c>
      <c r="K607" s="6">
        <f>225.5-225.5</f>
        <v>0</v>
      </c>
    </row>
    <row r="608" spans="1:11" s="26" customFormat="1" ht="31.2" x14ac:dyDescent="0.25">
      <c r="A608" s="104"/>
      <c r="B608" s="43" t="s">
        <v>121</v>
      </c>
      <c r="C608" s="2">
        <v>921</v>
      </c>
      <c r="D608" s="39" t="s">
        <v>2</v>
      </c>
      <c r="E608" s="39" t="s">
        <v>40</v>
      </c>
      <c r="F608" s="39" t="s">
        <v>92</v>
      </c>
      <c r="G608" s="2">
        <v>1</v>
      </c>
      <c r="H608" s="39" t="s">
        <v>2</v>
      </c>
      <c r="I608" s="39" t="s">
        <v>85</v>
      </c>
      <c r="J608" s="39" t="s">
        <v>59</v>
      </c>
      <c r="K608" s="6">
        <f>20495.1+17336.8+5982.3+2705.3-26024.4</f>
        <v>20495.099999999999</v>
      </c>
    </row>
    <row r="609" spans="1:11" s="26" customFormat="1" ht="46.8" x14ac:dyDescent="0.25">
      <c r="A609" s="104"/>
      <c r="B609" s="1" t="s">
        <v>448</v>
      </c>
      <c r="C609" s="2">
        <v>921</v>
      </c>
      <c r="D609" s="39" t="s">
        <v>2</v>
      </c>
      <c r="E609" s="39" t="s">
        <v>40</v>
      </c>
      <c r="F609" s="39" t="s">
        <v>92</v>
      </c>
      <c r="G609" s="2">
        <v>1</v>
      </c>
      <c r="H609" s="39" t="s">
        <v>2</v>
      </c>
      <c r="I609" s="39" t="s">
        <v>447</v>
      </c>
      <c r="J609" s="39"/>
      <c r="K609" s="6">
        <f>SUM(K610:K613)</f>
        <v>40531.9</v>
      </c>
    </row>
    <row r="610" spans="1:11" s="26" customFormat="1" ht="51" customHeight="1" x14ac:dyDescent="0.25">
      <c r="A610" s="104"/>
      <c r="B610" s="1" t="s">
        <v>122</v>
      </c>
      <c r="C610" s="2">
        <v>921</v>
      </c>
      <c r="D610" s="39" t="s">
        <v>2</v>
      </c>
      <c r="E610" s="39" t="s">
        <v>40</v>
      </c>
      <c r="F610" s="39" t="s">
        <v>92</v>
      </c>
      <c r="G610" s="2">
        <v>1</v>
      </c>
      <c r="H610" s="39" t="s">
        <v>2</v>
      </c>
      <c r="I610" s="39" t="s">
        <v>447</v>
      </c>
      <c r="J610" s="39" t="s">
        <v>48</v>
      </c>
      <c r="K610" s="6">
        <f>25798.9-2</f>
        <v>25796.9</v>
      </c>
    </row>
    <row r="611" spans="1:11" s="26" customFormat="1" ht="31.2" x14ac:dyDescent="0.25">
      <c r="A611" s="104"/>
      <c r="B611" s="1" t="s">
        <v>123</v>
      </c>
      <c r="C611" s="2">
        <v>921</v>
      </c>
      <c r="D611" s="39" t="s">
        <v>2</v>
      </c>
      <c r="E611" s="39" t="s">
        <v>40</v>
      </c>
      <c r="F611" s="39" t="s">
        <v>92</v>
      </c>
      <c r="G611" s="2">
        <v>1</v>
      </c>
      <c r="H611" s="39" t="s">
        <v>2</v>
      </c>
      <c r="I611" s="39" t="s">
        <v>447</v>
      </c>
      <c r="J611" s="39" t="s">
        <v>49</v>
      </c>
      <c r="K611" s="6">
        <f>225.5+218.8</f>
        <v>444.3</v>
      </c>
    </row>
    <row r="612" spans="1:11" s="26" customFormat="1" ht="31.2" x14ac:dyDescent="0.25">
      <c r="A612" s="104"/>
      <c r="B612" s="43" t="s">
        <v>121</v>
      </c>
      <c r="C612" s="2">
        <v>921</v>
      </c>
      <c r="D612" s="39" t="s">
        <v>2</v>
      </c>
      <c r="E612" s="39" t="s">
        <v>40</v>
      </c>
      <c r="F612" s="39" t="s">
        <v>92</v>
      </c>
      <c r="G612" s="2">
        <v>1</v>
      </c>
      <c r="H612" s="39" t="s">
        <v>2</v>
      </c>
      <c r="I612" s="39" t="s">
        <v>447</v>
      </c>
      <c r="J612" s="39" t="s">
        <v>59</v>
      </c>
      <c r="K612" s="6">
        <v>14288.6</v>
      </c>
    </row>
    <row r="613" spans="1:11" s="26" customFormat="1" x14ac:dyDescent="0.25">
      <c r="A613" s="104"/>
      <c r="B613" s="1" t="s">
        <v>50</v>
      </c>
      <c r="C613" s="2">
        <v>921</v>
      </c>
      <c r="D613" s="39" t="s">
        <v>2</v>
      </c>
      <c r="E613" s="39" t="s">
        <v>40</v>
      </c>
      <c r="F613" s="39" t="s">
        <v>92</v>
      </c>
      <c r="G613" s="2">
        <v>1</v>
      </c>
      <c r="H613" s="39" t="s">
        <v>2</v>
      </c>
      <c r="I613" s="39" t="s">
        <v>447</v>
      </c>
      <c r="J613" s="39" t="s">
        <v>51</v>
      </c>
      <c r="K613" s="6">
        <f>2+0.1</f>
        <v>2.1</v>
      </c>
    </row>
    <row r="614" spans="1:11" s="26" customFormat="1" x14ac:dyDescent="0.25">
      <c r="A614" s="104"/>
      <c r="B614" s="3" t="s">
        <v>222</v>
      </c>
      <c r="C614" s="2">
        <v>921</v>
      </c>
      <c r="D614" s="39" t="s">
        <v>2</v>
      </c>
      <c r="E614" s="39" t="s">
        <v>40</v>
      </c>
      <c r="F614" s="39" t="s">
        <v>92</v>
      </c>
      <c r="G614" s="2">
        <v>1</v>
      </c>
      <c r="H614" s="39" t="s">
        <v>2</v>
      </c>
      <c r="I614" s="39" t="s">
        <v>221</v>
      </c>
      <c r="J614" s="39"/>
      <c r="K614" s="6">
        <f>K615</f>
        <v>0</v>
      </c>
    </row>
    <row r="615" spans="1:11" s="26" customFormat="1" ht="31.2" x14ac:dyDescent="0.25">
      <c r="A615" s="104"/>
      <c r="B615" s="43" t="s">
        <v>121</v>
      </c>
      <c r="C615" s="2">
        <v>921</v>
      </c>
      <c r="D615" s="39" t="s">
        <v>2</v>
      </c>
      <c r="E615" s="39" t="s">
        <v>40</v>
      </c>
      <c r="F615" s="39" t="s">
        <v>92</v>
      </c>
      <c r="G615" s="2">
        <v>1</v>
      </c>
      <c r="H615" s="39" t="s">
        <v>2</v>
      </c>
      <c r="I615" s="39" t="s">
        <v>221</v>
      </c>
      <c r="J615" s="39" t="s">
        <v>59</v>
      </c>
      <c r="K615" s="6"/>
    </row>
    <row r="616" spans="1:11" s="26" customFormat="1" ht="46.8" x14ac:dyDescent="0.25">
      <c r="A616" s="104"/>
      <c r="B616" s="40" t="s">
        <v>381</v>
      </c>
      <c r="C616" s="2">
        <v>921</v>
      </c>
      <c r="D616" s="39" t="s">
        <v>2</v>
      </c>
      <c r="E616" s="39" t="s">
        <v>40</v>
      </c>
      <c r="F616" s="39" t="s">
        <v>92</v>
      </c>
      <c r="G616" s="2">
        <v>1</v>
      </c>
      <c r="H616" s="39" t="s">
        <v>4</v>
      </c>
      <c r="I616" s="39"/>
      <c r="J616" s="39"/>
      <c r="K616" s="6">
        <f>SUM(K617+K621)</f>
        <v>18143.900000000001</v>
      </c>
    </row>
    <row r="617" spans="1:11" s="26" customFormat="1" x14ac:dyDescent="0.25">
      <c r="A617" s="104"/>
      <c r="B617" s="1" t="s">
        <v>47</v>
      </c>
      <c r="C617" s="2">
        <v>921</v>
      </c>
      <c r="D617" s="39" t="s">
        <v>2</v>
      </c>
      <c r="E617" s="39" t="s">
        <v>40</v>
      </c>
      <c r="F617" s="39" t="s">
        <v>92</v>
      </c>
      <c r="G617" s="2">
        <v>1</v>
      </c>
      <c r="H617" s="39" t="s">
        <v>4</v>
      </c>
      <c r="I617" s="39" t="s">
        <v>78</v>
      </c>
      <c r="J617" s="39"/>
      <c r="K617" s="6">
        <f>SUM(K618:K620)</f>
        <v>18040.900000000001</v>
      </c>
    </row>
    <row r="618" spans="1:11" s="26" customFormat="1" ht="50.25" customHeight="1" x14ac:dyDescent="0.25">
      <c r="A618" s="104"/>
      <c r="B618" s="1" t="s">
        <v>122</v>
      </c>
      <c r="C618" s="2">
        <v>921</v>
      </c>
      <c r="D618" s="39" t="s">
        <v>2</v>
      </c>
      <c r="E618" s="39" t="s">
        <v>40</v>
      </c>
      <c r="F618" s="39" t="s">
        <v>92</v>
      </c>
      <c r="G618" s="2">
        <v>1</v>
      </c>
      <c r="H618" s="39" t="s">
        <v>4</v>
      </c>
      <c r="I618" s="39" t="s">
        <v>78</v>
      </c>
      <c r="J618" s="39" t="s">
        <v>48</v>
      </c>
      <c r="K618" s="6">
        <v>17917</v>
      </c>
    </row>
    <row r="619" spans="1:11" s="26" customFormat="1" ht="31.2" x14ac:dyDescent="0.25">
      <c r="A619" s="104"/>
      <c r="B619" s="1" t="s">
        <v>123</v>
      </c>
      <c r="C619" s="2">
        <v>921</v>
      </c>
      <c r="D619" s="39" t="s">
        <v>2</v>
      </c>
      <c r="E619" s="39" t="s">
        <v>40</v>
      </c>
      <c r="F619" s="39" t="s">
        <v>92</v>
      </c>
      <c r="G619" s="2">
        <v>1</v>
      </c>
      <c r="H619" s="39" t="s">
        <v>4</v>
      </c>
      <c r="I619" s="39" t="s">
        <v>78</v>
      </c>
      <c r="J619" s="39" t="s">
        <v>49</v>
      </c>
      <c r="K619" s="6">
        <f>18041-17917.1</f>
        <v>123.90000000000146</v>
      </c>
    </row>
    <row r="620" spans="1:11" s="26" customFormat="1" x14ac:dyDescent="0.25">
      <c r="A620" s="104"/>
      <c r="B620" s="1" t="s">
        <v>50</v>
      </c>
      <c r="C620" s="2">
        <v>921</v>
      </c>
      <c r="D620" s="39" t="s">
        <v>2</v>
      </c>
      <c r="E620" s="39" t="s">
        <v>40</v>
      </c>
      <c r="F620" s="39" t="s">
        <v>92</v>
      </c>
      <c r="G620" s="2">
        <v>1</v>
      </c>
      <c r="H620" s="39" t="s">
        <v>4</v>
      </c>
      <c r="I620" s="39" t="s">
        <v>78</v>
      </c>
      <c r="J620" s="39" t="s">
        <v>51</v>
      </c>
      <c r="K620" s="6"/>
    </row>
    <row r="621" spans="1:11" s="26" customFormat="1" x14ac:dyDescent="0.25">
      <c r="A621" s="104"/>
      <c r="B621" s="1" t="s">
        <v>234</v>
      </c>
      <c r="C621" s="2">
        <v>921</v>
      </c>
      <c r="D621" s="37" t="s">
        <v>2</v>
      </c>
      <c r="E621" s="37" t="s">
        <v>40</v>
      </c>
      <c r="F621" s="37" t="s">
        <v>92</v>
      </c>
      <c r="G621" s="38">
        <v>1</v>
      </c>
      <c r="H621" s="37" t="s">
        <v>4</v>
      </c>
      <c r="I621" s="37" t="s">
        <v>233</v>
      </c>
      <c r="J621" s="37"/>
      <c r="K621" s="6">
        <f>SUM(K622)</f>
        <v>103</v>
      </c>
    </row>
    <row r="622" spans="1:11" s="26" customFormat="1" ht="31.2" x14ac:dyDescent="0.25">
      <c r="A622" s="104"/>
      <c r="B622" s="1" t="s">
        <v>123</v>
      </c>
      <c r="C622" s="2">
        <v>921</v>
      </c>
      <c r="D622" s="37" t="s">
        <v>2</v>
      </c>
      <c r="E622" s="37" t="s">
        <v>40</v>
      </c>
      <c r="F622" s="37" t="s">
        <v>92</v>
      </c>
      <c r="G622" s="38">
        <v>1</v>
      </c>
      <c r="H622" s="37" t="s">
        <v>4</v>
      </c>
      <c r="I622" s="37" t="s">
        <v>233</v>
      </c>
      <c r="J622" s="37" t="s">
        <v>49</v>
      </c>
      <c r="K622" s="6">
        <f>70+33</f>
        <v>103</v>
      </c>
    </row>
    <row r="623" spans="1:11" s="26" customFormat="1" ht="31.2" x14ac:dyDescent="0.25">
      <c r="A623" s="104"/>
      <c r="B623" s="1" t="s">
        <v>374</v>
      </c>
      <c r="C623" s="2">
        <v>921</v>
      </c>
      <c r="D623" s="39" t="s">
        <v>2</v>
      </c>
      <c r="E623" s="39" t="s">
        <v>40</v>
      </c>
      <c r="F623" s="39" t="s">
        <v>92</v>
      </c>
      <c r="G623" s="2">
        <v>1</v>
      </c>
      <c r="H623" s="39" t="s">
        <v>5</v>
      </c>
      <c r="I623" s="39"/>
      <c r="J623" s="39"/>
      <c r="K623" s="6">
        <f t="shared" ref="K623" si="29">SUM(K624)</f>
        <v>6838.2999999999993</v>
      </c>
    </row>
    <row r="624" spans="1:11" s="26" customFormat="1" ht="31.2" x14ac:dyDescent="0.25">
      <c r="A624" s="104"/>
      <c r="B624" s="1" t="s">
        <v>167</v>
      </c>
      <c r="C624" s="2">
        <v>921</v>
      </c>
      <c r="D624" s="39" t="s">
        <v>2</v>
      </c>
      <c r="E624" s="39" t="s">
        <v>40</v>
      </c>
      <c r="F624" s="39" t="s">
        <v>92</v>
      </c>
      <c r="G624" s="2">
        <v>1</v>
      </c>
      <c r="H624" s="39" t="s">
        <v>5</v>
      </c>
      <c r="I624" s="39" t="s">
        <v>149</v>
      </c>
      <c r="J624" s="39"/>
      <c r="K624" s="6">
        <f t="shared" ref="K624" si="30">SUM(K625:K627)</f>
        <v>6838.2999999999993</v>
      </c>
    </row>
    <row r="625" spans="1:11" s="26" customFormat="1" ht="31.2" x14ac:dyDescent="0.25">
      <c r="A625" s="104"/>
      <c r="B625" s="1" t="s">
        <v>123</v>
      </c>
      <c r="C625" s="2">
        <v>921</v>
      </c>
      <c r="D625" s="39" t="s">
        <v>2</v>
      </c>
      <c r="E625" s="39" t="s">
        <v>40</v>
      </c>
      <c r="F625" s="39" t="s">
        <v>92</v>
      </c>
      <c r="G625" s="2">
        <v>1</v>
      </c>
      <c r="H625" s="39" t="s">
        <v>5</v>
      </c>
      <c r="I625" s="39" t="s">
        <v>149</v>
      </c>
      <c r="J625" s="39" t="s">
        <v>49</v>
      </c>
      <c r="K625" s="6">
        <f>3574.3+60+1120+150+443+60+(1431.1)-0.1-14</f>
        <v>6824.2999999999993</v>
      </c>
    </row>
    <row r="626" spans="1:11" s="26" customFormat="1" ht="31.2" x14ac:dyDescent="0.25">
      <c r="A626" s="104"/>
      <c r="B626" s="1" t="s">
        <v>75</v>
      </c>
      <c r="C626" s="2">
        <v>921</v>
      </c>
      <c r="D626" s="39" t="s">
        <v>2</v>
      </c>
      <c r="E626" s="39" t="s">
        <v>40</v>
      </c>
      <c r="F626" s="39" t="s">
        <v>92</v>
      </c>
      <c r="G626" s="2">
        <v>1</v>
      </c>
      <c r="H626" s="39" t="s">
        <v>5</v>
      </c>
      <c r="I626" s="39" t="s">
        <v>149</v>
      </c>
      <c r="J626" s="39" t="s">
        <v>54</v>
      </c>
      <c r="K626" s="6"/>
    </row>
    <row r="627" spans="1:11" s="26" customFormat="1" x14ac:dyDescent="0.25">
      <c r="A627" s="104"/>
      <c r="B627" s="1" t="s">
        <v>50</v>
      </c>
      <c r="C627" s="2">
        <v>921</v>
      </c>
      <c r="D627" s="39" t="s">
        <v>2</v>
      </c>
      <c r="E627" s="39" t="s">
        <v>40</v>
      </c>
      <c r="F627" s="39" t="s">
        <v>92</v>
      </c>
      <c r="G627" s="2">
        <v>1</v>
      </c>
      <c r="H627" s="39" t="s">
        <v>5</v>
      </c>
      <c r="I627" s="39" t="s">
        <v>149</v>
      </c>
      <c r="J627" s="39" t="s">
        <v>51</v>
      </c>
      <c r="K627" s="6">
        <v>14</v>
      </c>
    </row>
    <row r="628" spans="1:11" s="26" customFormat="1" ht="31.2" x14ac:dyDescent="0.25">
      <c r="A628" s="104"/>
      <c r="B628" s="40" t="s">
        <v>218</v>
      </c>
      <c r="C628" s="2">
        <v>921</v>
      </c>
      <c r="D628" s="39" t="s">
        <v>2</v>
      </c>
      <c r="E628" s="39" t="s">
        <v>40</v>
      </c>
      <c r="F628" s="37" t="s">
        <v>92</v>
      </c>
      <c r="G628" s="37" t="s">
        <v>90</v>
      </c>
      <c r="H628" s="37" t="s">
        <v>6</v>
      </c>
      <c r="I628" s="37"/>
      <c r="J628" s="37"/>
      <c r="K628" s="6">
        <f>K629</f>
        <v>111.4</v>
      </c>
    </row>
    <row r="629" spans="1:11" s="26" customFormat="1" ht="46.95" customHeight="1" x14ac:dyDescent="0.25">
      <c r="A629" s="104"/>
      <c r="B629" s="1" t="s">
        <v>309</v>
      </c>
      <c r="C629" s="2">
        <v>921</v>
      </c>
      <c r="D629" s="39" t="s">
        <v>2</v>
      </c>
      <c r="E629" s="39" t="s">
        <v>40</v>
      </c>
      <c r="F629" s="37" t="s">
        <v>92</v>
      </c>
      <c r="G629" s="37" t="s">
        <v>90</v>
      </c>
      <c r="H629" s="37" t="s">
        <v>6</v>
      </c>
      <c r="I629" s="37" t="s">
        <v>283</v>
      </c>
      <c r="J629" s="37"/>
      <c r="K629" s="6">
        <f>K630</f>
        <v>111.4</v>
      </c>
    </row>
    <row r="630" spans="1:11" s="26" customFormat="1" ht="31.2" x14ac:dyDescent="0.25">
      <c r="A630" s="104"/>
      <c r="B630" s="1" t="s">
        <v>123</v>
      </c>
      <c r="C630" s="2">
        <v>921</v>
      </c>
      <c r="D630" s="39" t="s">
        <v>2</v>
      </c>
      <c r="E630" s="39" t="s">
        <v>40</v>
      </c>
      <c r="F630" s="37" t="s">
        <v>92</v>
      </c>
      <c r="G630" s="37" t="s">
        <v>90</v>
      </c>
      <c r="H630" s="37" t="s">
        <v>6</v>
      </c>
      <c r="I630" s="37" t="s">
        <v>283</v>
      </c>
      <c r="J630" s="37" t="s">
        <v>49</v>
      </c>
      <c r="K630" s="6">
        <v>111.4</v>
      </c>
    </row>
    <row r="631" spans="1:11" s="26" customFormat="1" x14ac:dyDescent="0.25">
      <c r="A631" s="104"/>
      <c r="B631" s="1" t="s">
        <v>18</v>
      </c>
      <c r="C631" s="2">
        <v>921</v>
      </c>
      <c r="D631" s="37" t="s">
        <v>8</v>
      </c>
      <c r="E631" s="37"/>
      <c r="F631" s="37"/>
      <c r="G631" s="37"/>
      <c r="H631" s="37"/>
      <c r="I631" s="37"/>
      <c r="J631" s="37"/>
      <c r="K631" s="6">
        <f t="shared" ref="K631:K636" si="31">SUM(K632)</f>
        <v>21</v>
      </c>
    </row>
    <row r="632" spans="1:11" s="26" customFormat="1" ht="19.5" customHeight="1" x14ac:dyDescent="0.25">
      <c r="A632" s="104"/>
      <c r="B632" s="1" t="s">
        <v>235</v>
      </c>
      <c r="C632" s="2">
        <v>921</v>
      </c>
      <c r="D632" s="37" t="s">
        <v>8</v>
      </c>
      <c r="E632" s="37" t="s">
        <v>7</v>
      </c>
      <c r="F632" s="37"/>
      <c r="G632" s="37"/>
      <c r="H632" s="37"/>
      <c r="I632" s="37"/>
      <c r="J632" s="39"/>
      <c r="K632" s="6">
        <f t="shared" si="31"/>
        <v>21</v>
      </c>
    </row>
    <row r="633" spans="1:11" s="26" customFormat="1" ht="16.5" customHeight="1" x14ac:dyDescent="0.25">
      <c r="A633" s="104"/>
      <c r="B633" s="40" t="s">
        <v>166</v>
      </c>
      <c r="C633" s="2">
        <v>921</v>
      </c>
      <c r="D633" s="37" t="s">
        <v>8</v>
      </c>
      <c r="E633" s="37" t="s">
        <v>7</v>
      </c>
      <c r="F633" s="37" t="s">
        <v>92</v>
      </c>
      <c r="G633" s="37"/>
      <c r="H633" s="37"/>
      <c r="I633" s="37"/>
      <c r="J633" s="39"/>
      <c r="K633" s="6">
        <f t="shared" si="31"/>
        <v>21</v>
      </c>
    </row>
    <row r="634" spans="1:11" s="26" customFormat="1" ht="46.8" x14ac:dyDescent="0.25">
      <c r="A634" s="104"/>
      <c r="B634" s="40" t="s">
        <v>529</v>
      </c>
      <c r="C634" s="2">
        <v>921</v>
      </c>
      <c r="D634" s="37" t="s">
        <v>8</v>
      </c>
      <c r="E634" s="37" t="s">
        <v>7</v>
      </c>
      <c r="F634" s="37" t="s">
        <v>92</v>
      </c>
      <c r="G634" s="38">
        <v>1</v>
      </c>
      <c r="H634" s="37"/>
      <c r="I634" s="37"/>
      <c r="J634" s="37"/>
      <c r="K634" s="6">
        <f t="shared" si="31"/>
        <v>21</v>
      </c>
    </row>
    <row r="635" spans="1:11" s="26" customFormat="1" ht="46.8" x14ac:dyDescent="0.25">
      <c r="A635" s="104"/>
      <c r="B635" s="40" t="s">
        <v>381</v>
      </c>
      <c r="C635" s="2">
        <v>921</v>
      </c>
      <c r="D635" s="37" t="s">
        <v>8</v>
      </c>
      <c r="E635" s="37" t="s">
        <v>7</v>
      </c>
      <c r="F635" s="37" t="s">
        <v>92</v>
      </c>
      <c r="G635" s="38">
        <v>1</v>
      </c>
      <c r="H635" s="37" t="s">
        <v>4</v>
      </c>
      <c r="I635" s="37"/>
      <c r="J635" s="37"/>
      <c r="K635" s="6">
        <f t="shared" si="31"/>
        <v>21</v>
      </c>
    </row>
    <row r="636" spans="1:11" s="26" customFormat="1" x14ac:dyDescent="0.25">
      <c r="A636" s="104"/>
      <c r="B636" s="1" t="s">
        <v>237</v>
      </c>
      <c r="C636" s="2">
        <v>921</v>
      </c>
      <c r="D636" s="37" t="s">
        <v>8</v>
      </c>
      <c r="E636" s="37" t="s">
        <v>7</v>
      </c>
      <c r="F636" s="37" t="s">
        <v>92</v>
      </c>
      <c r="G636" s="37" t="s">
        <v>90</v>
      </c>
      <c r="H636" s="37" t="s">
        <v>4</v>
      </c>
      <c r="I636" s="37" t="s">
        <v>236</v>
      </c>
      <c r="J636" s="39"/>
      <c r="K636" s="6">
        <f t="shared" si="31"/>
        <v>21</v>
      </c>
    </row>
    <row r="637" spans="1:11" s="26" customFormat="1" ht="31.2" x14ac:dyDescent="0.25">
      <c r="A637" s="104"/>
      <c r="B637" s="1" t="s">
        <v>123</v>
      </c>
      <c r="C637" s="2">
        <v>921</v>
      </c>
      <c r="D637" s="37" t="s">
        <v>8</v>
      </c>
      <c r="E637" s="37" t="s">
        <v>7</v>
      </c>
      <c r="F637" s="37" t="s">
        <v>92</v>
      </c>
      <c r="G637" s="37" t="s">
        <v>90</v>
      </c>
      <c r="H637" s="37" t="s">
        <v>4</v>
      </c>
      <c r="I637" s="37" t="s">
        <v>236</v>
      </c>
      <c r="J637" s="39" t="s">
        <v>49</v>
      </c>
      <c r="K637" s="6">
        <v>21</v>
      </c>
    </row>
    <row r="638" spans="1:11" s="26" customFormat="1" x14ac:dyDescent="0.25">
      <c r="A638" s="104"/>
      <c r="B638" s="1" t="s">
        <v>20</v>
      </c>
      <c r="C638" s="2">
        <v>921</v>
      </c>
      <c r="D638" s="39" t="s">
        <v>21</v>
      </c>
      <c r="E638" s="39"/>
      <c r="F638" s="39"/>
      <c r="G638" s="2"/>
      <c r="H638" s="39"/>
      <c r="I638" s="39"/>
      <c r="J638" s="39"/>
      <c r="K638" s="6">
        <f t="shared" ref="K638:K641" si="32">SUM(K639)</f>
        <v>115251.2</v>
      </c>
    </row>
    <row r="639" spans="1:11" s="26" customFormat="1" x14ac:dyDescent="0.25">
      <c r="A639" s="104"/>
      <c r="B639" s="1" t="s">
        <v>29</v>
      </c>
      <c r="C639" s="2">
        <v>921</v>
      </c>
      <c r="D639" s="39" t="s">
        <v>21</v>
      </c>
      <c r="E639" s="39" t="s">
        <v>6</v>
      </c>
      <c r="F639" s="37"/>
      <c r="G639" s="37"/>
      <c r="H639" s="37"/>
      <c r="I639" s="37"/>
      <c r="J639" s="37"/>
      <c r="K639" s="6">
        <f>SUM(K640)</f>
        <v>115251.2</v>
      </c>
    </row>
    <row r="640" spans="1:11" s="26" customFormat="1" ht="19.5" customHeight="1" x14ac:dyDescent="0.25">
      <c r="A640" s="104"/>
      <c r="B640" s="40" t="s">
        <v>166</v>
      </c>
      <c r="C640" s="2">
        <v>921</v>
      </c>
      <c r="D640" s="39" t="s">
        <v>21</v>
      </c>
      <c r="E640" s="39" t="s">
        <v>6</v>
      </c>
      <c r="F640" s="37" t="s">
        <v>92</v>
      </c>
      <c r="G640" s="37"/>
      <c r="H640" s="37"/>
      <c r="I640" s="37"/>
      <c r="J640" s="37"/>
      <c r="K640" s="6">
        <f>SUM(K641)</f>
        <v>115251.2</v>
      </c>
    </row>
    <row r="641" spans="1:11" s="26" customFormat="1" ht="46.8" x14ac:dyDescent="0.25">
      <c r="A641" s="104"/>
      <c r="B641" s="40" t="s">
        <v>375</v>
      </c>
      <c r="C641" s="2">
        <v>921</v>
      </c>
      <c r="D641" s="39" t="s">
        <v>21</v>
      </c>
      <c r="E641" s="39" t="s">
        <v>6</v>
      </c>
      <c r="F641" s="37" t="s">
        <v>92</v>
      </c>
      <c r="G641" s="37" t="s">
        <v>90</v>
      </c>
      <c r="H641" s="37"/>
      <c r="I641" s="37"/>
      <c r="J641" s="37"/>
      <c r="K641" s="6">
        <f t="shared" si="32"/>
        <v>115251.2</v>
      </c>
    </row>
    <row r="642" spans="1:11" s="26" customFormat="1" ht="31.2" x14ac:dyDescent="0.25">
      <c r="A642" s="104"/>
      <c r="B642" s="40" t="s">
        <v>218</v>
      </c>
      <c r="C642" s="2">
        <v>921</v>
      </c>
      <c r="D642" s="39" t="s">
        <v>21</v>
      </c>
      <c r="E642" s="39" t="s">
        <v>6</v>
      </c>
      <c r="F642" s="37" t="s">
        <v>92</v>
      </c>
      <c r="G642" s="37" t="s">
        <v>90</v>
      </c>
      <c r="H642" s="37" t="s">
        <v>6</v>
      </c>
      <c r="I642" s="37"/>
      <c r="J642" s="37"/>
      <c r="K642" s="6">
        <f>SUM(K643+K646)</f>
        <v>115251.2</v>
      </c>
    </row>
    <row r="643" spans="1:11" s="26" customFormat="1" ht="52.2" customHeight="1" x14ac:dyDescent="0.25">
      <c r="A643" s="104"/>
      <c r="B643" s="1" t="s">
        <v>309</v>
      </c>
      <c r="C643" s="2">
        <v>921</v>
      </c>
      <c r="D643" s="39" t="s">
        <v>21</v>
      </c>
      <c r="E643" s="39" t="s">
        <v>6</v>
      </c>
      <c r="F643" s="37" t="s">
        <v>92</v>
      </c>
      <c r="G643" s="37" t="s">
        <v>90</v>
      </c>
      <c r="H643" s="37" t="s">
        <v>6</v>
      </c>
      <c r="I643" s="37" t="s">
        <v>283</v>
      </c>
      <c r="J643" s="37"/>
      <c r="K643" s="6">
        <f>SUM(K644:K645)</f>
        <v>115251.2</v>
      </c>
    </row>
    <row r="644" spans="1:11" s="26" customFormat="1" ht="31.2" x14ac:dyDescent="0.25">
      <c r="A644" s="104"/>
      <c r="B644" s="1" t="s">
        <v>123</v>
      </c>
      <c r="C644" s="2">
        <v>921</v>
      </c>
      <c r="D644" s="39" t="s">
        <v>21</v>
      </c>
      <c r="E644" s="39" t="s">
        <v>6</v>
      </c>
      <c r="F644" s="37" t="s">
        <v>92</v>
      </c>
      <c r="G644" s="37" t="s">
        <v>90</v>
      </c>
      <c r="H644" s="37" t="s">
        <v>6</v>
      </c>
      <c r="I644" s="37" t="s">
        <v>283</v>
      </c>
      <c r="J644" s="37" t="s">
        <v>49</v>
      </c>
      <c r="K644" s="6"/>
    </row>
    <row r="645" spans="1:11" s="26" customFormat="1" ht="31.2" x14ac:dyDescent="0.25">
      <c r="A645" s="104"/>
      <c r="B645" s="1" t="s">
        <v>75</v>
      </c>
      <c r="C645" s="2">
        <v>921</v>
      </c>
      <c r="D645" s="39" t="s">
        <v>21</v>
      </c>
      <c r="E645" s="39" t="s">
        <v>6</v>
      </c>
      <c r="F645" s="37" t="s">
        <v>92</v>
      </c>
      <c r="G645" s="37" t="s">
        <v>90</v>
      </c>
      <c r="H645" s="37" t="s">
        <v>6</v>
      </c>
      <c r="I645" s="37" t="s">
        <v>283</v>
      </c>
      <c r="J645" s="37" t="s">
        <v>54</v>
      </c>
      <c r="K645" s="6">
        <v>115251.2</v>
      </c>
    </row>
    <row r="646" spans="1:11" s="26" customFormat="1" ht="53.4" customHeight="1" x14ac:dyDescent="0.25">
      <c r="A646" s="55"/>
      <c r="B646" s="1" t="s">
        <v>309</v>
      </c>
      <c r="C646" s="2">
        <v>921</v>
      </c>
      <c r="D646" s="39" t="s">
        <v>21</v>
      </c>
      <c r="E646" s="39" t="s">
        <v>6</v>
      </c>
      <c r="F646" s="37" t="s">
        <v>92</v>
      </c>
      <c r="G646" s="37" t="s">
        <v>90</v>
      </c>
      <c r="H646" s="37" t="s">
        <v>6</v>
      </c>
      <c r="I646" s="37" t="s">
        <v>428</v>
      </c>
      <c r="J646" s="37"/>
      <c r="K646" s="6">
        <f>SUM(K647)</f>
        <v>0</v>
      </c>
    </row>
    <row r="647" spans="1:11" s="26" customFormat="1" ht="31.2" x14ac:dyDescent="0.25">
      <c r="A647" s="55"/>
      <c r="B647" s="1" t="s">
        <v>75</v>
      </c>
      <c r="C647" s="2">
        <v>921</v>
      </c>
      <c r="D647" s="39" t="s">
        <v>21</v>
      </c>
      <c r="E647" s="39" t="s">
        <v>6</v>
      </c>
      <c r="F647" s="37" t="s">
        <v>92</v>
      </c>
      <c r="G647" s="37" t="s">
        <v>90</v>
      </c>
      <c r="H647" s="37" t="s">
        <v>6</v>
      </c>
      <c r="I647" s="37" t="s">
        <v>428</v>
      </c>
      <c r="J647" s="37" t="s">
        <v>54</v>
      </c>
      <c r="K647" s="6"/>
    </row>
    <row r="648" spans="1:11" s="26" customFormat="1" ht="31.2" x14ac:dyDescent="0.25">
      <c r="A648" s="103">
        <v>8</v>
      </c>
      <c r="B648" s="1" t="s">
        <v>382</v>
      </c>
      <c r="C648" s="2">
        <v>923</v>
      </c>
      <c r="D648" s="39"/>
      <c r="E648" s="39"/>
      <c r="F648" s="37"/>
      <c r="G648" s="37"/>
      <c r="H648" s="37"/>
      <c r="I648" s="37"/>
      <c r="J648" s="39"/>
      <c r="K648" s="6">
        <f>K649+K726+K733</f>
        <v>562084.19999999995</v>
      </c>
    </row>
    <row r="649" spans="1:11" s="26" customFormat="1" x14ac:dyDescent="0.25">
      <c r="A649" s="104"/>
      <c r="B649" s="1" t="s">
        <v>41</v>
      </c>
      <c r="C649" s="2">
        <v>923</v>
      </c>
      <c r="D649" s="39" t="s">
        <v>7</v>
      </c>
      <c r="E649" s="39"/>
      <c r="F649" s="37"/>
      <c r="G649" s="37"/>
      <c r="H649" s="37"/>
      <c r="I649" s="37"/>
      <c r="J649" s="39"/>
      <c r="K649" s="6">
        <f>K650+K681+K656</f>
        <v>547038.19999999995</v>
      </c>
    </row>
    <row r="650" spans="1:11" s="26" customFormat="1" x14ac:dyDescent="0.25">
      <c r="A650" s="104"/>
      <c r="B650" s="1" t="s">
        <v>261</v>
      </c>
      <c r="C650" s="2">
        <v>923</v>
      </c>
      <c r="D650" s="39" t="s">
        <v>7</v>
      </c>
      <c r="E650" s="39" t="s">
        <v>4</v>
      </c>
      <c r="F650" s="37"/>
      <c r="G650" s="37"/>
      <c r="H650" s="37"/>
      <c r="I650" s="37"/>
      <c r="J650" s="39"/>
      <c r="K650" s="6">
        <f>K651</f>
        <v>4595.8</v>
      </c>
    </row>
    <row r="651" spans="1:11" s="26" customFormat="1" x14ac:dyDescent="0.25">
      <c r="A651" s="104"/>
      <c r="B651" s="1" t="s">
        <v>547</v>
      </c>
      <c r="C651" s="2">
        <v>923</v>
      </c>
      <c r="D651" s="39" t="s">
        <v>7</v>
      </c>
      <c r="E651" s="39" t="s">
        <v>4</v>
      </c>
      <c r="F651" s="37" t="s">
        <v>30</v>
      </c>
      <c r="G651" s="37"/>
      <c r="H651" s="37"/>
      <c r="I651" s="37"/>
      <c r="J651" s="39"/>
      <c r="K651" s="6">
        <f>K652</f>
        <v>4595.8</v>
      </c>
    </row>
    <row r="652" spans="1:11" s="26" customFormat="1" ht="31.2" x14ac:dyDescent="0.25">
      <c r="A652" s="104"/>
      <c r="B652" s="1" t="s">
        <v>601</v>
      </c>
      <c r="C652" s="2">
        <v>923</v>
      </c>
      <c r="D652" s="39" t="s">
        <v>7</v>
      </c>
      <c r="E652" s="39" t="s">
        <v>4</v>
      </c>
      <c r="F652" s="37" t="s">
        <v>30</v>
      </c>
      <c r="G652" s="37" t="s">
        <v>90</v>
      </c>
      <c r="H652" s="37"/>
      <c r="I652" s="37"/>
      <c r="J652" s="39"/>
      <c r="K652" s="6">
        <f>K653</f>
        <v>4595.8</v>
      </c>
    </row>
    <row r="653" spans="1:11" s="26" customFormat="1" ht="46.8" x14ac:dyDescent="0.25">
      <c r="A653" s="104"/>
      <c r="B653" s="1" t="s">
        <v>390</v>
      </c>
      <c r="C653" s="2">
        <v>923</v>
      </c>
      <c r="D653" s="39" t="s">
        <v>7</v>
      </c>
      <c r="E653" s="39" t="s">
        <v>4</v>
      </c>
      <c r="F653" s="37" t="s">
        <v>30</v>
      </c>
      <c r="G653" s="37" t="s">
        <v>90</v>
      </c>
      <c r="H653" s="37" t="s">
        <v>2</v>
      </c>
      <c r="I653" s="37"/>
      <c r="J653" s="39"/>
      <c r="K653" s="6">
        <f>K654</f>
        <v>4595.8</v>
      </c>
    </row>
    <row r="654" spans="1:11" s="26" customFormat="1" ht="31.2" x14ac:dyDescent="0.25">
      <c r="A654" s="104"/>
      <c r="B654" s="1" t="s">
        <v>564</v>
      </c>
      <c r="C654" s="2">
        <v>923</v>
      </c>
      <c r="D654" s="39" t="s">
        <v>7</v>
      </c>
      <c r="E654" s="39" t="s">
        <v>4</v>
      </c>
      <c r="F654" s="37" t="s">
        <v>30</v>
      </c>
      <c r="G654" s="37" t="s">
        <v>90</v>
      </c>
      <c r="H654" s="37" t="s">
        <v>2</v>
      </c>
      <c r="I654" s="37" t="s">
        <v>563</v>
      </c>
      <c r="J654" s="39"/>
      <c r="K654" s="6">
        <f>K655</f>
        <v>4595.8</v>
      </c>
    </row>
    <row r="655" spans="1:11" s="26" customFormat="1" x14ac:dyDescent="0.25">
      <c r="A655" s="104"/>
      <c r="B655" s="1" t="s">
        <v>50</v>
      </c>
      <c r="C655" s="2">
        <v>923</v>
      </c>
      <c r="D655" s="39" t="s">
        <v>7</v>
      </c>
      <c r="E655" s="39" t="s">
        <v>4</v>
      </c>
      <c r="F655" s="37" t="s">
        <v>30</v>
      </c>
      <c r="G655" s="37" t="s">
        <v>90</v>
      </c>
      <c r="H655" s="37" t="s">
        <v>2</v>
      </c>
      <c r="I655" s="37" t="s">
        <v>563</v>
      </c>
      <c r="J655" s="39" t="s">
        <v>51</v>
      </c>
      <c r="K655" s="6">
        <v>4595.8</v>
      </c>
    </row>
    <row r="656" spans="1:11" s="26" customFormat="1" x14ac:dyDescent="0.25">
      <c r="A656" s="104"/>
      <c r="B656" s="56" t="s">
        <v>474</v>
      </c>
      <c r="C656" s="2">
        <v>923</v>
      </c>
      <c r="D656" s="39" t="s">
        <v>7</v>
      </c>
      <c r="E656" s="39" t="s">
        <v>5</v>
      </c>
      <c r="F656" s="37"/>
      <c r="G656" s="38"/>
      <c r="H656" s="37"/>
      <c r="I656" s="37"/>
      <c r="J656" s="39"/>
      <c r="K656" s="6">
        <f>SUM(K657)</f>
        <v>400207.6</v>
      </c>
    </row>
    <row r="657" spans="1:11" s="26" customFormat="1" x14ac:dyDescent="0.25">
      <c r="A657" s="104"/>
      <c r="B657" s="1" t="s">
        <v>547</v>
      </c>
      <c r="C657" s="2">
        <v>923</v>
      </c>
      <c r="D657" s="39" t="s">
        <v>7</v>
      </c>
      <c r="E657" s="39" t="s">
        <v>5</v>
      </c>
      <c r="F657" s="37" t="s">
        <v>30</v>
      </c>
      <c r="G657" s="38"/>
      <c r="H657" s="37"/>
      <c r="I657" s="37"/>
      <c r="J657" s="39"/>
      <c r="K657" s="6">
        <f>K658</f>
        <v>400207.6</v>
      </c>
    </row>
    <row r="658" spans="1:11" s="26" customFormat="1" x14ac:dyDescent="0.25">
      <c r="A658" s="104"/>
      <c r="B658" s="43" t="s">
        <v>508</v>
      </c>
      <c r="C658" s="2">
        <v>923</v>
      </c>
      <c r="D658" s="39" t="s">
        <v>7</v>
      </c>
      <c r="E658" s="39" t="s">
        <v>5</v>
      </c>
      <c r="F658" s="37" t="s">
        <v>30</v>
      </c>
      <c r="G658" s="37" t="s">
        <v>117</v>
      </c>
      <c r="H658" s="37"/>
      <c r="I658" s="37"/>
      <c r="J658" s="39"/>
      <c r="K658" s="6">
        <f>SUM(K659+K678)</f>
        <v>400207.6</v>
      </c>
    </row>
    <row r="659" spans="1:11" s="26" customFormat="1" ht="31.2" x14ac:dyDescent="0.25">
      <c r="A659" s="104"/>
      <c r="B659" s="43" t="s">
        <v>461</v>
      </c>
      <c r="C659" s="2">
        <v>923</v>
      </c>
      <c r="D659" s="39" t="s">
        <v>7</v>
      </c>
      <c r="E659" s="39" t="s">
        <v>5</v>
      </c>
      <c r="F659" s="37" t="s">
        <v>30</v>
      </c>
      <c r="G659" s="37" t="s">
        <v>117</v>
      </c>
      <c r="H659" s="37" t="s">
        <v>2</v>
      </c>
      <c r="I659" s="37"/>
      <c r="J659" s="39"/>
      <c r="K659" s="6">
        <f>SUM(K669+K660+K662+K664+K666+K672+K674+K676)</f>
        <v>309652.5</v>
      </c>
    </row>
    <row r="660" spans="1:11" s="26" customFormat="1" x14ac:dyDescent="0.25">
      <c r="A660" s="104"/>
      <c r="B660" s="43" t="s">
        <v>553</v>
      </c>
      <c r="C660" s="2">
        <v>923</v>
      </c>
      <c r="D660" s="39" t="s">
        <v>7</v>
      </c>
      <c r="E660" s="39" t="s">
        <v>5</v>
      </c>
      <c r="F660" s="37" t="s">
        <v>30</v>
      </c>
      <c r="G660" s="37" t="s">
        <v>117</v>
      </c>
      <c r="H660" s="37" t="s">
        <v>2</v>
      </c>
      <c r="I660" s="37" t="s">
        <v>560</v>
      </c>
      <c r="J660" s="39"/>
      <c r="K660" s="6">
        <f>K661</f>
        <v>16953.5</v>
      </c>
    </row>
    <row r="661" spans="1:11" s="26" customFormat="1" ht="31.2" x14ac:dyDescent="0.25">
      <c r="A661" s="104"/>
      <c r="B661" s="46" t="s">
        <v>123</v>
      </c>
      <c r="C661" s="2">
        <v>923</v>
      </c>
      <c r="D661" s="39" t="s">
        <v>7</v>
      </c>
      <c r="E661" s="39" t="s">
        <v>5</v>
      </c>
      <c r="F661" s="37" t="s">
        <v>30</v>
      </c>
      <c r="G661" s="37" t="s">
        <v>117</v>
      </c>
      <c r="H661" s="37" t="s">
        <v>2</v>
      </c>
      <c r="I661" s="37" t="s">
        <v>560</v>
      </c>
      <c r="J661" s="39" t="s">
        <v>49</v>
      </c>
      <c r="K661" s="6">
        <f>16721.6+200+31.9</f>
        <v>16953.5</v>
      </c>
    </row>
    <row r="662" spans="1:11" s="26" customFormat="1" x14ac:dyDescent="0.25">
      <c r="A662" s="104"/>
      <c r="B662" s="43" t="s">
        <v>562</v>
      </c>
      <c r="C662" s="2">
        <v>923</v>
      </c>
      <c r="D662" s="39" t="s">
        <v>7</v>
      </c>
      <c r="E662" s="39" t="s">
        <v>5</v>
      </c>
      <c r="F662" s="37" t="s">
        <v>30</v>
      </c>
      <c r="G662" s="37" t="s">
        <v>117</v>
      </c>
      <c r="H662" s="37" t="s">
        <v>2</v>
      </c>
      <c r="I662" s="37" t="s">
        <v>561</v>
      </c>
      <c r="J662" s="39"/>
      <c r="K662" s="6">
        <f>K663</f>
        <v>30559.200000000001</v>
      </c>
    </row>
    <row r="663" spans="1:11" s="26" customFormat="1" ht="31.2" x14ac:dyDescent="0.25">
      <c r="A663" s="104"/>
      <c r="B663" s="46" t="s">
        <v>123</v>
      </c>
      <c r="C663" s="2">
        <v>923</v>
      </c>
      <c r="D663" s="39" t="s">
        <v>7</v>
      </c>
      <c r="E663" s="39" t="s">
        <v>5</v>
      </c>
      <c r="F663" s="37" t="s">
        <v>30</v>
      </c>
      <c r="G663" s="37" t="s">
        <v>117</v>
      </c>
      <c r="H663" s="37" t="s">
        <v>2</v>
      </c>
      <c r="I663" s="37" t="s">
        <v>561</v>
      </c>
      <c r="J663" s="39" t="s">
        <v>49</v>
      </c>
      <c r="K663" s="6">
        <f>25347+2000+415.9+(3212.2)-415.9</f>
        <v>30559.200000000001</v>
      </c>
    </row>
    <row r="664" spans="1:11" s="26" customFormat="1" x14ac:dyDescent="0.25">
      <c r="A664" s="104"/>
      <c r="B664" s="46" t="s">
        <v>571</v>
      </c>
      <c r="C664" s="2">
        <v>923</v>
      </c>
      <c r="D664" s="39" t="s">
        <v>7</v>
      </c>
      <c r="E664" s="39" t="s">
        <v>5</v>
      </c>
      <c r="F664" s="37" t="s">
        <v>30</v>
      </c>
      <c r="G664" s="37" t="s">
        <v>117</v>
      </c>
      <c r="H664" s="37" t="s">
        <v>2</v>
      </c>
      <c r="I664" s="37" t="s">
        <v>570</v>
      </c>
      <c r="J664" s="39"/>
      <c r="K664" s="6">
        <f>K665</f>
        <v>16026.6</v>
      </c>
    </row>
    <row r="665" spans="1:11" s="26" customFormat="1" ht="31.2" x14ac:dyDescent="0.25">
      <c r="A665" s="104"/>
      <c r="B665" s="46" t="s">
        <v>123</v>
      </c>
      <c r="C665" s="2">
        <v>923</v>
      </c>
      <c r="D665" s="39" t="s">
        <v>7</v>
      </c>
      <c r="E665" s="39" t="s">
        <v>5</v>
      </c>
      <c r="F665" s="37" t="s">
        <v>30</v>
      </c>
      <c r="G665" s="37" t="s">
        <v>117</v>
      </c>
      <c r="H665" s="37" t="s">
        <v>2</v>
      </c>
      <c r="I665" s="37" t="s">
        <v>570</v>
      </c>
      <c r="J665" s="39" t="s">
        <v>49</v>
      </c>
      <c r="K665" s="6">
        <f>15690.7-200+660-124.1</f>
        <v>16026.6</v>
      </c>
    </row>
    <row r="666" spans="1:11" s="26" customFormat="1" x14ac:dyDescent="0.25">
      <c r="A666" s="104"/>
      <c r="B666" s="43" t="s">
        <v>549</v>
      </c>
      <c r="C666" s="2">
        <v>923</v>
      </c>
      <c r="D666" s="39" t="s">
        <v>7</v>
      </c>
      <c r="E666" s="39" t="s">
        <v>5</v>
      </c>
      <c r="F666" s="37" t="s">
        <v>30</v>
      </c>
      <c r="G666" s="37" t="s">
        <v>117</v>
      </c>
      <c r="H666" s="37" t="s">
        <v>2</v>
      </c>
      <c r="I666" s="37" t="s">
        <v>546</v>
      </c>
      <c r="J666" s="39"/>
      <c r="K666" s="6">
        <f>K667+K668</f>
        <v>38320.300000000003</v>
      </c>
    </row>
    <row r="667" spans="1:11" s="26" customFormat="1" ht="31.2" x14ac:dyDescent="0.25">
      <c r="A667" s="104"/>
      <c r="B667" s="46" t="s">
        <v>123</v>
      </c>
      <c r="C667" s="2">
        <v>923</v>
      </c>
      <c r="D667" s="39" t="s">
        <v>7</v>
      </c>
      <c r="E667" s="39" t="s">
        <v>5</v>
      </c>
      <c r="F667" s="37" t="s">
        <v>30</v>
      </c>
      <c r="G667" s="37" t="s">
        <v>117</v>
      </c>
      <c r="H667" s="37" t="s">
        <v>2</v>
      </c>
      <c r="I667" s="37" t="s">
        <v>546</v>
      </c>
      <c r="J667" s="39" t="s">
        <v>49</v>
      </c>
      <c r="K667" s="6">
        <v>33320.300000000003</v>
      </c>
    </row>
    <row r="668" spans="1:11" s="26" customFormat="1" ht="31.2" x14ac:dyDescent="0.25">
      <c r="A668" s="104"/>
      <c r="B668" s="46" t="s">
        <v>75</v>
      </c>
      <c r="C668" s="2">
        <v>923</v>
      </c>
      <c r="D668" s="39" t="s">
        <v>7</v>
      </c>
      <c r="E668" s="39" t="s">
        <v>5</v>
      </c>
      <c r="F668" s="37" t="s">
        <v>30</v>
      </c>
      <c r="G668" s="37" t="s">
        <v>117</v>
      </c>
      <c r="H668" s="37" t="s">
        <v>2</v>
      </c>
      <c r="I668" s="37" t="s">
        <v>546</v>
      </c>
      <c r="J668" s="39" t="s">
        <v>54</v>
      </c>
      <c r="K668" s="6">
        <v>5000</v>
      </c>
    </row>
    <row r="669" spans="1:11" s="26" customFormat="1" x14ac:dyDescent="0.25">
      <c r="A669" s="104"/>
      <c r="B669" s="43" t="s">
        <v>507</v>
      </c>
      <c r="C669" s="2">
        <v>923</v>
      </c>
      <c r="D669" s="39" t="s">
        <v>7</v>
      </c>
      <c r="E669" s="39" t="s">
        <v>5</v>
      </c>
      <c r="F669" s="37" t="s">
        <v>30</v>
      </c>
      <c r="G669" s="37" t="s">
        <v>117</v>
      </c>
      <c r="H669" s="37" t="s">
        <v>2</v>
      </c>
      <c r="I669" s="37" t="s">
        <v>462</v>
      </c>
      <c r="J669" s="39"/>
      <c r="K669" s="6">
        <f>SUM(K670:K671)</f>
        <v>184481</v>
      </c>
    </row>
    <row r="670" spans="1:11" s="26" customFormat="1" ht="31.2" x14ac:dyDescent="0.25">
      <c r="A670" s="104"/>
      <c r="B670" s="46" t="s">
        <v>123</v>
      </c>
      <c r="C670" s="2">
        <v>923</v>
      </c>
      <c r="D670" s="39" t="s">
        <v>7</v>
      </c>
      <c r="E670" s="39" t="s">
        <v>5</v>
      </c>
      <c r="F670" s="37" t="s">
        <v>30</v>
      </c>
      <c r="G670" s="37" t="s">
        <v>117</v>
      </c>
      <c r="H670" s="37" t="s">
        <v>2</v>
      </c>
      <c r="I670" s="37" t="s">
        <v>462</v>
      </c>
      <c r="J670" s="39" t="s">
        <v>49</v>
      </c>
      <c r="K670" s="6">
        <f>245486.4-4212-57.3-114.6-157741.6-36807.2-328</f>
        <v>46225.7</v>
      </c>
    </row>
    <row r="671" spans="1:11" s="26" customFormat="1" x14ac:dyDescent="0.25">
      <c r="A671" s="104"/>
      <c r="B671" s="46" t="s">
        <v>50</v>
      </c>
      <c r="C671" s="2">
        <v>923</v>
      </c>
      <c r="D671" s="39" t="s">
        <v>7</v>
      </c>
      <c r="E671" s="39" t="s">
        <v>5</v>
      </c>
      <c r="F671" s="37" t="s">
        <v>30</v>
      </c>
      <c r="G671" s="37" t="s">
        <v>117</v>
      </c>
      <c r="H671" s="37" t="s">
        <v>2</v>
      </c>
      <c r="I671" s="37" t="s">
        <v>462</v>
      </c>
      <c r="J671" s="39" t="s">
        <v>51</v>
      </c>
      <c r="K671" s="6">
        <f>157741.6-11530.7-7955.6</f>
        <v>138255.29999999999</v>
      </c>
    </row>
    <row r="672" spans="1:11" s="26" customFormat="1" ht="31.2" x14ac:dyDescent="0.25">
      <c r="A672" s="104"/>
      <c r="B672" s="1" t="s">
        <v>623</v>
      </c>
      <c r="C672" s="2">
        <v>923</v>
      </c>
      <c r="D672" s="39" t="s">
        <v>7</v>
      </c>
      <c r="E672" s="39" t="s">
        <v>5</v>
      </c>
      <c r="F672" s="37" t="s">
        <v>30</v>
      </c>
      <c r="G672" s="37" t="s">
        <v>117</v>
      </c>
      <c r="H672" s="37" t="s">
        <v>2</v>
      </c>
      <c r="I672" s="37" t="s">
        <v>621</v>
      </c>
      <c r="J672" s="39"/>
      <c r="K672" s="6">
        <f>K673</f>
        <v>2000</v>
      </c>
    </row>
    <row r="673" spans="1:11" s="26" customFormat="1" ht="31.2" x14ac:dyDescent="0.25">
      <c r="A673" s="104"/>
      <c r="B673" s="1" t="s">
        <v>123</v>
      </c>
      <c r="C673" s="2">
        <v>923</v>
      </c>
      <c r="D673" s="39" t="s">
        <v>7</v>
      </c>
      <c r="E673" s="39" t="s">
        <v>5</v>
      </c>
      <c r="F673" s="37" t="s">
        <v>30</v>
      </c>
      <c r="G673" s="37" t="s">
        <v>117</v>
      </c>
      <c r="H673" s="37" t="s">
        <v>2</v>
      </c>
      <c r="I673" s="37" t="s">
        <v>621</v>
      </c>
      <c r="J673" s="39" t="s">
        <v>49</v>
      </c>
      <c r="K673" s="6">
        <v>2000</v>
      </c>
    </row>
    <row r="674" spans="1:11" s="26" customFormat="1" x14ac:dyDescent="0.25">
      <c r="A674" s="104"/>
      <c r="B674" s="1" t="s">
        <v>624</v>
      </c>
      <c r="C674" s="2">
        <v>923</v>
      </c>
      <c r="D674" s="39" t="s">
        <v>7</v>
      </c>
      <c r="E674" s="39" t="s">
        <v>5</v>
      </c>
      <c r="F674" s="37" t="s">
        <v>30</v>
      </c>
      <c r="G674" s="37" t="s">
        <v>117</v>
      </c>
      <c r="H674" s="37" t="s">
        <v>2</v>
      </c>
      <c r="I674" s="37" t="s">
        <v>622</v>
      </c>
      <c r="J674" s="39"/>
      <c r="K674" s="6">
        <f>K675</f>
        <v>14380.6</v>
      </c>
    </row>
    <row r="675" spans="1:11" s="26" customFormat="1" ht="31.2" x14ac:dyDescent="0.25">
      <c r="A675" s="104"/>
      <c r="B675" s="1" t="s">
        <v>123</v>
      </c>
      <c r="C675" s="2">
        <v>923</v>
      </c>
      <c r="D675" s="39" t="s">
        <v>7</v>
      </c>
      <c r="E675" s="39" t="s">
        <v>5</v>
      </c>
      <c r="F675" s="37" t="s">
        <v>30</v>
      </c>
      <c r="G675" s="37" t="s">
        <v>117</v>
      </c>
      <c r="H675" s="37" t="s">
        <v>2</v>
      </c>
      <c r="I675" s="37" t="s">
        <v>622</v>
      </c>
      <c r="J675" s="39" t="s">
        <v>49</v>
      </c>
      <c r="K675" s="6">
        <v>14380.6</v>
      </c>
    </row>
    <row r="676" spans="1:11" s="26" customFormat="1" ht="42" customHeight="1" x14ac:dyDescent="0.25">
      <c r="A676" s="104"/>
      <c r="B676" s="46" t="s">
        <v>664</v>
      </c>
      <c r="C676" s="72">
        <v>923</v>
      </c>
      <c r="D676" s="73" t="s">
        <v>7</v>
      </c>
      <c r="E676" s="73" t="s">
        <v>5</v>
      </c>
      <c r="F676" s="37" t="s">
        <v>30</v>
      </c>
      <c r="G676" s="37" t="s">
        <v>117</v>
      </c>
      <c r="H676" s="37" t="s">
        <v>2</v>
      </c>
      <c r="I676" s="37" t="s">
        <v>655</v>
      </c>
      <c r="J676" s="73"/>
      <c r="K676" s="6">
        <f>K677</f>
        <v>6931.2999999999993</v>
      </c>
    </row>
    <row r="677" spans="1:11" s="26" customFormat="1" ht="31.2" x14ac:dyDescent="0.25">
      <c r="A677" s="104"/>
      <c r="B677" s="1" t="s">
        <v>123</v>
      </c>
      <c r="C677" s="72">
        <v>923</v>
      </c>
      <c r="D677" s="73" t="s">
        <v>7</v>
      </c>
      <c r="E677" s="73" t="s">
        <v>5</v>
      </c>
      <c r="F677" s="37" t="s">
        <v>30</v>
      </c>
      <c r="G677" s="37" t="s">
        <v>117</v>
      </c>
      <c r="H677" s="37" t="s">
        <v>2</v>
      </c>
      <c r="I677" s="37" t="s">
        <v>655</v>
      </c>
      <c r="J677" s="73" t="s">
        <v>49</v>
      </c>
      <c r="K677" s="6">
        <f>6515.4+415.9</f>
        <v>6931.2999999999993</v>
      </c>
    </row>
    <row r="678" spans="1:11" s="26" customFormat="1" ht="13.95" customHeight="1" x14ac:dyDescent="0.25">
      <c r="A678" s="104"/>
      <c r="B678" s="46" t="s">
        <v>150</v>
      </c>
      <c r="C678" s="2">
        <v>923</v>
      </c>
      <c r="D678" s="39" t="s">
        <v>7</v>
      </c>
      <c r="E678" s="39" t="s">
        <v>5</v>
      </c>
      <c r="F678" s="37" t="s">
        <v>30</v>
      </c>
      <c r="G678" s="37" t="s">
        <v>117</v>
      </c>
      <c r="H678" s="37" t="s">
        <v>4</v>
      </c>
      <c r="I678" s="37"/>
      <c r="J678" s="39"/>
      <c r="K678" s="6">
        <f>SUM(K680)</f>
        <v>90555.1</v>
      </c>
    </row>
    <row r="679" spans="1:11" s="26" customFormat="1" ht="46.2" customHeight="1" x14ac:dyDescent="0.25">
      <c r="A679" s="104"/>
      <c r="B679" s="53" t="s">
        <v>66</v>
      </c>
      <c r="C679" s="2">
        <v>923</v>
      </c>
      <c r="D679" s="39" t="s">
        <v>7</v>
      </c>
      <c r="E679" s="39" t="s">
        <v>5</v>
      </c>
      <c r="F679" s="37" t="s">
        <v>30</v>
      </c>
      <c r="G679" s="37" t="s">
        <v>117</v>
      </c>
      <c r="H679" s="37" t="s">
        <v>4</v>
      </c>
      <c r="I679" s="37" t="s">
        <v>85</v>
      </c>
      <c r="J679" s="39"/>
      <c r="K679" s="6">
        <f>SUM(K680)</f>
        <v>90555.1</v>
      </c>
    </row>
    <row r="680" spans="1:11" s="26" customFormat="1" ht="31.2" x14ac:dyDescent="0.25">
      <c r="A680" s="104"/>
      <c r="B680" s="43" t="s">
        <v>121</v>
      </c>
      <c r="C680" s="2">
        <v>923</v>
      </c>
      <c r="D680" s="39" t="s">
        <v>7</v>
      </c>
      <c r="E680" s="39" t="s">
        <v>5</v>
      </c>
      <c r="F680" s="37" t="s">
        <v>30</v>
      </c>
      <c r="G680" s="37" t="s">
        <v>117</v>
      </c>
      <c r="H680" s="37" t="s">
        <v>4</v>
      </c>
      <c r="I680" s="37" t="s">
        <v>85</v>
      </c>
      <c r="J680" s="39" t="s">
        <v>59</v>
      </c>
      <c r="K680" s="6">
        <f>82599.5+7955.6</f>
        <v>90555.1</v>
      </c>
    </row>
    <row r="681" spans="1:11" s="26" customFormat="1" x14ac:dyDescent="0.25">
      <c r="A681" s="104"/>
      <c r="B681" s="1" t="s">
        <v>147</v>
      </c>
      <c r="C681" s="2">
        <v>923</v>
      </c>
      <c r="D681" s="39" t="s">
        <v>7</v>
      </c>
      <c r="E681" s="39" t="s">
        <v>7</v>
      </c>
      <c r="F681" s="37"/>
      <c r="G681" s="37"/>
      <c r="H681" s="37"/>
      <c r="I681" s="37"/>
      <c r="J681" s="39"/>
      <c r="K681" s="6">
        <f>K682</f>
        <v>142234.79999999999</v>
      </c>
    </row>
    <row r="682" spans="1:11" s="26" customFormat="1" ht="16.5" customHeight="1" x14ac:dyDescent="0.25">
      <c r="A682" s="104"/>
      <c r="B682" s="40" t="s">
        <v>383</v>
      </c>
      <c r="C682" s="2">
        <v>923</v>
      </c>
      <c r="D682" s="39" t="s">
        <v>7</v>
      </c>
      <c r="E682" s="39" t="s">
        <v>7</v>
      </c>
      <c r="F682" s="37" t="s">
        <v>30</v>
      </c>
      <c r="G682" s="37"/>
      <c r="H682" s="37"/>
      <c r="I682" s="37"/>
      <c r="J682" s="39"/>
      <c r="K682" s="6">
        <f>K683+K715+K721</f>
        <v>142234.79999999999</v>
      </c>
    </row>
    <row r="683" spans="1:11" s="26" customFormat="1" ht="31.2" x14ac:dyDescent="0.25">
      <c r="A683" s="104"/>
      <c r="B683" s="1" t="s">
        <v>384</v>
      </c>
      <c r="C683" s="2">
        <v>923</v>
      </c>
      <c r="D683" s="39" t="s">
        <v>7</v>
      </c>
      <c r="E683" s="39" t="s">
        <v>7</v>
      </c>
      <c r="F683" s="37" t="s">
        <v>30</v>
      </c>
      <c r="G683" s="37" t="s">
        <v>90</v>
      </c>
      <c r="H683" s="37"/>
      <c r="I683" s="37"/>
      <c r="J683" s="39"/>
      <c r="K683" s="6">
        <f>K700+K684+K709</f>
        <v>128151.5</v>
      </c>
    </row>
    <row r="684" spans="1:11" s="26" customFormat="1" ht="46.8" x14ac:dyDescent="0.25">
      <c r="A684" s="104"/>
      <c r="B684" s="40" t="s">
        <v>390</v>
      </c>
      <c r="C684" s="2">
        <v>923</v>
      </c>
      <c r="D684" s="39" t="s">
        <v>7</v>
      </c>
      <c r="E684" s="39" t="s">
        <v>7</v>
      </c>
      <c r="F684" s="37" t="s">
        <v>30</v>
      </c>
      <c r="G684" s="38">
        <v>1</v>
      </c>
      <c r="H684" s="37" t="s">
        <v>2</v>
      </c>
      <c r="I684" s="37"/>
      <c r="J684" s="37"/>
      <c r="K684" s="6">
        <f>SUM(K689+K687+K692+K695+K685+K697)</f>
        <v>4704.4000000000005</v>
      </c>
    </row>
    <row r="685" spans="1:11" s="26" customFormat="1" ht="30" customHeight="1" x14ac:dyDescent="0.25">
      <c r="A685" s="104"/>
      <c r="B685" s="40" t="s">
        <v>564</v>
      </c>
      <c r="C685" s="2">
        <v>923</v>
      </c>
      <c r="D685" s="39" t="s">
        <v>7</v>
      </c>
      <c r="E685" s="39" t="s">
        <v>7</v>
      </c>
      <c r="F685" s="37" t="s">
        <v>30</v>
      </c>
      <c r="G685" s="37" t="s">
        <v>90</v>
      </c>
      <c r="H685" s="37" t="s">
        <v>2</v>
      </c>
      <c r="I685" s="37" t="s">
        <v>563</v>
      </c>
      <c r="J685" s="39"/>
      <c r="K685" s="6">
        <f>K686</f>
        <v>760</v>
      </c>
    </row>
    <row r="686" spans="1:11" s="26" customFormat="1" ht="29.4" customHeight="1" x14ac:dyDescent="0.25">
      <c r="A686" s="104"/>
      <c r="B686" s="1" t="s">
        <v>123</v>
      </c>
      <c r="C686" s="2">
        <v>923</v>
      </c>
      <c r="D686" s="39" t="s">
        <v>7</v>
      </c>
      <c r="E686" s="39" t="s">
        <v>7</v>
      </c>
      <c r="F686" s="37" t="s">
        <v>30</v>
      </c>
      <c r="G686" s="37" t="s">
        <v>90</v>
      </c>
      <c r="H686" s="37" t="s">
        <v>2</v>
      </c>
      <c r="I686" s="37" t="s">
        <v>563</v>
      </c>
      <c r="J686" s="39" t="s">
        <v>49</v>
      </c>
      <c r="K686" s="6">
        <v>760</v>
      </c>
    </row>
    <row r="687" spans="1:11" s="26" customFormat="1" ht="106.95" customHeight="1" x14ac:dyDescent="0.25">
      <c r="A687" s="104"/>
      <c r="B687" s="56" t="s">
        <v>312</v>
      </c>
      <c r="C687" s="2">
        <v>923</v>
      </c>
      <c r="D687" s="39" t="s">
        <v>7</v>
      </c>
      <c r="E687" s="39" t="s">
        <v>7</v>
      </c>
      <c r="F687" s="37" t="s">
        <v>30</v>
      </c>
      <c r="G687" s="37" t="s">
        <v>90</v>
      </c>
      <c r="H687" s="37" t="s">
        <v>2</v>
      </c>
      <c r="I687" s="39" t="s">
        <v>124</v>
      </c>
      <c r="J687" s="39"/>
      <c r="K687" s="6">
        <f>SUM(K688:K688)</f>
        <v>252</v>
      </c>
    </row>
    <row r="688" spans="1:11" s="26" customFormat="1" ht="50.25" customHeight="1" x14ac:dyDescent="0.25">
      <c r="A688" s="104"/>
      <c r="B688" s="1" t="s">
        <v>122</v>
      </c>
      <c r="C688" s="2">
        <v>923</v>
      </c>
      <c r="D688" s="39" t="s">
        <v>7</v>
      </c>
      <c r="E688" s="39" t="s">
        <v>7</v>
      </c>
      <c r="F688" s="37" t="s">
        <v>30</v>
      </c>
      <c r="G688" s="37" t="s">
        <v>90</v>
      </c>
      <c r="H688" s="37" t="s">
        <v>2</v>
      </c>
      <c r="I688" s="39" t="s">
        <v>124</v>
      </c>
      <c r="J688" s="39" t="s">
        <v>48</v>
      </c>
      <c r="K688" s="6">
        <v>252</v>
      </c>
    </row>
    <row r="689" spans="1:11" s="26" customFormat="1" ht="46.8" x14ac:dyDescent="0.25">
      <c r="A689" s="104"/>
      <c r="B689" s="1" t="s">
        <v>179</v>
      </c>
      <c r="C689" s="2">
        <v>923</v>
      </c>
      <c r="D689" s="39" t="s">
        <v>7</v>
      </c>
      <c r="E689" s="39" t="s">
        <v>7</v>
      </c>
      <c r="F689" s="37" t="s">
        <v>30</v>
      </c>
      <c r="G689" s="37" t="s">
        <v>90</v>
      </c>
      <c r="H689" s="37" t="s">
        <v>2</v>
      </c>
      <c r="I689" s="37" t="s">
        <v>180</v>
      </c>
      <c r="J689" s="39"/>
      <c r="K689" s="6">
        <f>SUM(K690:K691)</f>
        <v>1846.2</v>
      </c>
    </row>
    <row r="690" spans="1:11" s="26" customFormat="1" ht="51" customHeight="1" x14ac:dyDescent="0.25">
      <c r="A690" s="104"/>
      <c r="B690" s="1" t="s">
        <v>122</v>
      </c>
      <c r="C690" s="2">
        <v>923</v>
      </c>
      <c r="D690" s="39" t="s">
        <v>7</v>
      </c>
      <c r="E690" s="39" t="s">
        <v>7</v>
      </c>
      <c r="F690" s="37" t="s">
        <v>30</v>
      </c>
      <c r="G690" s="37" t="s">
        <v>90</v>
      </c>
      <c r="H690" s="37" t="s">
        <v>2</v>
      </c>
      <c r="I690" s="37" t="s">
        <v>180</v>
      </c>
      <c r="J690" s="39" t="s">
        <v>48</v>
      </c>
      <c r="K690" s="6">
        <f>1729.1-20.6</f>
        <v>1708.5</v>
      </c>
    </row>
    <row r="691" spans="1:11" s="26" customFormat="1" ht="31.2" x14ac:dyDescent="0.25">
      <c r="A691" s="104"/>
      <c r="B691" s="1" t="s">
        <v>123</v>
      </c>
      <c r="C691" s="2">
        <v>923</v>
      </c>
      <c r="D691" s="39" t="s">
        <v>7</v>
      </c>
      <c r="E691" s="39" t="s">
        <v>7</v>
      </c>
      <c r="F691" s="37" t="s">
        <v>30</v>
      </c>
      <c r="G691" s="37" t="s">
        <v>90</v>
      </c>
      <c r="H691" s="37" t="s">
        <v>2</v>
      </c>
      <c r="I691" s="37" t="s">
        <v>180</v>
      </c>
      <c r="J691" s="39" t="s">
        <v>49</v>
      </c>
      <c r="K691" s="6">
        <v>137.69999999999999</v>
      </c>
    </row>
    <row r="692" spans="1:11" s="26" customFormat="1" ht="94.5" customHeight="1" x14ac:dyDescent="0.25">
      <c r="A692" s="104"/>
      <c r="B692" s="41" t="s">
        <v>192</v>
      </c>
      <c r="C692" s="2">
        <v>923</v>
      </c>
      <c r="D692" s="39" t="s">
        <v>7</v>
      </c>
      <c r="E692" s="39" t="s">
        <v>7</v>
      </c>
      <c r="F692" s="37" t="s">
        <v>30</v>
      </c>
      <c r="G692" s="38">
        <v>1</v>
      </c>
      <c r="H692" s="37" t="s">
        <v>2</v>
      </c>
      <c r="I692" s="37" t="s">
        <v>80</v>
      </c>
      <c r="J692" s="37"/>
      <c r="K692" s="6">
        <f>SUM(K693:K694)</f>
        <v>923.10000000000014</v>
      </c>
    </row>
    <row r="693" spans="1:11" s="26" customFormat="1" ht="47.25" customHeight="1" x14ac:dyDescent="0.25">
      <c r="A693" s="104"/>
      <c r="B693" s="1" t="s">
        <v>122</v>
      </c>
      <c r="C693" s="2">
        <v>923</v>
      </c>
      <c r="D693" s="39" t="s">
        <v>7</v>
      </c>
      <c r="E693" s="39" t="s">
        <v>7</v>
      </c>
      <c r="F693" s="37" t="s">
        <v>30</v>
      </c>
      <c r="G693" s="38">
        <v>1</v>
      </c>
      <c r="H693" s="37" t="s">
        <v>2</v>
      </c>
      <c r="I693" s="37" t="s">
        <v>80</v>
      </c>
      <c r="J693" s="37" t="s">
        <v>48</v>
      </c>
      <c r="K693" s="6">
        <f>849.2-10.3</f>
        <v>838.90000000000009</v>
      </c>
    </row>
    <row r="694" spans="1:11" s="26" customFormat="1" ht="31.2" x14ac:dyDescent="0.25">
      <c r="A694" s="104"/>
      <c r="B694" s="1" t="s">
        <v>123</v>
      </c>
      <c r="C694" s="2">
        <v>923</v>
      </c>
      <c r="D694" s="39" t="s">
        <v>7</v>
      </c>
      <c r="E694" s="39" t="s">
        <v>7</v>
      </c>
      <c r="F694" s="37" t="s">
        <v>30</v>
      </c>
      <c r="G694" s="38">
        <v>1</v>
      </c>
      <c r="H694" s="37" t="s">
        <v>2</v>
      </c>
      <c r="I694" s="37" t="s">
        <v>80</v>
      </c>
      <c r="J694" s="37" t="s">
        <v>49</v>
      </c>
      <c r="K694" s="6">
        <v>84.2</v>
      </c>
    </row>
    <row r="695" spans="1:11" s="26" customFormat="1" ht="142.19999999999999" customHeight="1" x14ac:dyDescent="0.25">
      <c r="A695" s="104"/>
      <c r="B695" s="56" t="s">
        <v>530</v>
      </c>
      <c r="C695" s="2">
        <v>923</v>
      </c>
      <c r="D695" s="39" t="s">
        <v>7</v>
      </c>
      <c r="E695" s="39" t="s">
        <v>7</v>
      </c>
      <c r="F695" s="37" t="s">
        <v>30</v>
      </c>
      <c r="G695" s="38">
        <v>1</v>
      </c>
      <c r="H695" s="37" t="s">
        <v>2</v>
      </c>
      <c r="I695" s="37" t="s">
        <v>429</v>
      </c>
      <c r="J695" s="37"/>
      <c r="K695" s="6">
        <f>SUM(K696)</f>
        <v>0</v>
      </c>
    </row>
    <row r="696" spans="1:11" s="26" customFormat="1" ht="49.5" customHeight="1" x14ac:dyDescent="0.25">
      <c r="A696" s="104"/>
      <c r="B696" s="1" t="s">
        <v>122</v>
      </c>
      <c r="C696" s="2">
        <v>923</v>
      </c>
      <c r="D696" s="39" t="s">
        <v>7</v>
      </c>
      <c r="E696" s="39" t="s">
        <v>7</v>
      </c>
      <c r="F696" s="37" t="s">
        <v>30</v>
      </c>
      <c r="G696" s="38">
        <v>1</v>
      </c>
      <c r="H696" s="37" t="s">
        <v>2</v>
      </c>
      <c r="I696" s="37" t="s">
        <v>429</v>
      </c>
      <c r="J696" s="37" t="s">
        <v>48</v>
      </c>
      <c r="K696" s="6">
        <f>933.4-933.4</f>
        <v>0</v>
      </c>
    </row>
    <row r="697" spans="1:11" s="26" customFormat="1" ht="123" customHeight="1" x14ac:dyDescent="0.25">
      <c r="A697" s="104"/>
      <c r="B697" s="56" t="s">
        <v>617</v>
      </c>
      <c r="C697" s="2">
        <v>923</v>
      </c>
      <c r="D697" s="39" t="s">
        <v>7</v>
      </c>
      <c r="E697" s="39" t="s">
        <v>7</v>
      </c>
      <c r="F697" s="37" t="s">
        <v>30</v>
      </c>
      <c r="G697" s="38">
        <v>1</v>
      </c>
      <c r="H697" s="37" t="s">
        <v>2</v>
      </c>
      <c r="I697" s="37" t="s">
        <v>615</v>
      </c>
      <c r="J697" s="37"/>
      <c r="K697" s="6">
        <f>K698+K699</f>
        <v>923.1</v>
      </c>
    </row>
    <row r="698" spans="1:11" s="26" customFormat="1" ht="49.5" customHeight="1" x14ac:dyDescent="0.25">
      <c r="A698" s="104"/>
      <c r="B698" s="1" t="s">
        <v>122</v>
      </c>
      <c r="C698" s="2">
        <v>923</v>
      </c>
      <c r="D698" s="39" t="s">
        <v>7</v>
      </c>
      <c r="E698" s="39" t="s">
        <v>7</v>
      </c>
      <c r="F698" s="37" t="s">
        <v>30</v>
      </c>
      <c r="G698" s="38">
        <v>1</v>
      </c>
      <c r="H698" s="37" t="s">
        <v>2</v>
      </c>
      <c r="I698" s="37" t="s">
        <v>615</v>
      </c>
      <c r="J698" s="37" t="s">
        <v>48</v>
      </c>
      <c r="K698" s="6">
        <f>933.4-77.8-145.1-10.3</f>
        <v>700.2</v>
      </c>
    </row>
    <row r="699" spans="1:11" s="26" customFormat="1" ht="33" customHeight="1" x14ac:dyDescent="0.25">
      <c r="A699" s="104"/>
      <c r="B699" s="1" t="s">
        <v>123</v>
      </c>
      <c r="C699" s="2">
        <v>923</v>
      </c>
      <c r="D699" s="39" t="s">
        <v>7</v>
      </c>
      <c r="E699" s="39" t="s">
        <v>7</v>
      </c>
      <c r="F699" s="37" t="s">
        <v>30</v>
      </c>
      <c r="G699" s="38">
        <v>1</v>
      </c>
      <c r="H699" s="37" t="s">
        <v>2</v>
      </c>
      <c r="I699" s="37" t="s">
        <v>615</v>
      </c>
      <c r="J699" s="37" t="s">
        <v>49</v>
      </c>
      <c r="K699" s="6">
        <f>77.8+145.1</f>
        <v>222.89999999999998</v>
      </c>
    </row>
    <row r="700" spans="1:11" s="26" customFormat="1" x14ac:dyDescent="0.25">
      <c r="A700" s="104"/>
      <c r="B700" s="1" t="s">
        <v>148</v>
      </c>
      <c r="C700" s="2">
        <v>923</v>
      </c>
      <c r="D700" s="39" t="s">
        <v>7</v>
      </c>
      <c r="E700" s="39" t="s">
        <v>7</v>
      </c>
      <c r="F700" s="37" t="s">
        <v>30</v>
      </c>
      <c r="G700" s="37" t="s">
        <v>90</v>
      </c>
      <c r="H700" s="37" t="s">
        <v>4</v>
      </c>
      <c r="I700" s="37"/>
      <c r="J700" s="39"/>
      <c r="K700" s="6">
        <f>K701+K705+K707</f>
        <v>17282</v>
      </c>
    </row>
    <row r="701" spans="1:11" s="26" customFormat="1" x14ac:dyDescent="0.25">
      <c r="A701" s="104"/>
      <c r="B701" s="1" t="s">
        <v>60</v>
      </c>
      <c r="C701" s="2">
        <v>923</v>
      </c>
      <c r="D701" s="39" t="s">
        <v>7</v>
      </c>
      <c r="E701" s="39" t="s">
        <v>7</v>
      </c>
      <c r="F701" s="37" t="s">
        <v>30</v>
      </c>
      <c r="G701" s="37" t="s">
        <v>90</v>
      </c>
      <c r="H701" s="37" t="s">
        <v>4</v>
      </c>
      <c r="I701" s="37" t="s">
        <v>78</v>
      </c>
      <c r="J701" s="39"/>
      <c r="K701" s="6">
        <f>K702+K703+K704</f>
        <v>16875.2</v>
      </c>
    </row>
    <row r="702" spans="1:11" s="26" customFormat="1" ht="50.25" customHeight="1" x14ac:dyDescent="0.25">
      <c r="A702" s="104"/>
      <c r="B702" s="1" t="s">
        <v>122</v>
      </c>
      <c r="C702" s="2">
        <v>923</v>
      </c>
      <c r="D702" s="39" t="s">
        <v>7</v>
      </c>
      <c r="E702" s="39" t="s">
        <v>7</v>
      </c>
      <c r="F702" s="37" t="s">
        <v>30</v>
      </c>
      <c r="G702" s="37" t="s">
        <v>90</v>
      </c>
      <c r="H702" s="37" t="s">
        <v>4</v>
      </c>
      <c r="I702" s="37" t="s">
        <v>78</v>
      </c>
      <c r="J702" s="39" t="s">
        <v>48</v>
      </c>
      <c r="K702" s="6">
        <f>15133.9+1192.7</f>
        <v>16326.6</v>
      </c>
    </row>
    <row r="703" spans="1:11" s="26" customFormat="1" ht="31.2" x14ac:dyDescent="0.25">
      <c r="A703" s="104"/>
      <c r="B703" s="1" t="s">
        <v>123</v>
      </c>
      <c r="C703" s="2">
        <v>923</v>
      </c>
      <c r="D703" s="39" t="s">
        <v>7</v>
      </c>
      <c r="E703" s="39" t="s">
        <v>7</v>
      </c>
      <c r="F703" s="37" t="s">
        <v>30</v>
      </c>
      <c r="G703" s="37" t="s">
        <v>90</v>
      </c>
      <c r="H703" s="37" t="s">
        <v>4</v>
      </c>
      <c r="I703" s="37" t="s">
        <v>78</v>
      </c>
      <c r="J703" s="39" t="s">
        <v>49</v>
      </c>
      <c r="K703" s="6">
        <f>15675.8-15133.9-6.7+6.7</f>
        <v>541.89999999999964</v>
      </c>
    </row>
    <row r="704" spans="1:11" s="26" customFormat="1" x14ac:dyDescent="0.25">
      <c r="A704" s="104"/>
      <c r="B704" s="46" t="s">
        <v>50</v>
      </c>
      <c r="C704" s="2">
        <v>923</v>
      </c>
      <c r="D704" s="39" t="s">
        <v>7</v>
      </c>
      <c r="E704" s="39" t="s">
        <v>7</v>
      </c>
      <c r="F704" s="37" t="s">
        <v>30</v>
      </c>
      <c r="G704" s="37" t="s">
        <v>90</v>
      </c>
      <c r="H704" s="37" t="s">
        <v>4</v>
      </c>
      <c r="I704" s="37" t="s">
        <v>78</v>
      </c>
      <c r="J704" s="39" t="s">
        <v>51</v>
      </c>
      <c r="K704" s="6">
        <v>6.7</v>
      </c>
    </row>
    <row r="705" spans="1:11" s="26" customFormat="1" x14ac:dyDescent="0.25">
      <c r="A705" s="104"/>
      <c r="B705" s="46" t="s">
        <v>234</v>
      </c>
      <c r="C705" s="2">
        <v>923</v>
      </c>
      <c r="D705" s="37" t="s">
        <v>7</v>
      </c>
      <c r="E705" s="37" t="s">
        <v>7</v>
      </c>
      <c r="F705" s="37" t="s">
        <v>30</v>
      </c>
      <c r="G705" s="38">
        <v>1</v>
      </c>
      <c r="H705" s="37" t="s">
        <v>4</v>
      </c>
      <c r="I705" s="37" t="s">
        <v>233</v>
      </c>
      <c r="J705" s="37"/>
      <c r="K705" s="6">
        <f t="shared" ref="K705:K731" si="33">SUM(K706)</f>
        <v>61.8</v>
      </c>
    </row>
    <row r="706" spans="1:11" s="26" customFormat="1" ht="31.2" x14ac:dyDescent="0.25">
      <c r="A706" s="104"/>
      <c r="B706" s="46" t="s">
        <v>123</v>
      </c>
      <c r="C706" s="2">
        <v>923</v>
      </c>
      <c r="D706" s="37" t="s">
        <v>7</v>
      </c>
      <c r="E706" s="37" t="s">
        <v>7</v>
      </c>
      <c r="F706" s="37" t="s">
        <v>30</v>
      </c>
      <c r="G706" s="38">
        <v>1</v>
      </c>
      <c r="H706" s="37" t="s">
        <v>4</v>
      </c>
      <c r="I706" s="37" t="s">
        <v>233</v>
      </c>
      <c r="J706" s="37" t="s">
        <v>49</v>
      </c>
      <c r="K706" s="6">
        <v>61.8</v>
      </c>
    </row>
    <row r="707" spans="1:11" s="26" customFormat="1" ht="31.2" x14ac:dyDescent="0.25">
      <c r="A707" s="104"/>
      <c r="B707" s="46" t="s">
        <v>241</v>
      </c>
      <c r="C707" s="2">
        <v>923</v>
      </c>
      <c r="D707" s="37" t="s">
        <v>7</v>
      </c>
      <c r="E707" s="37" t="s">
        <v>7</v>
      </c>
      <c r="F707" s="37" t="s">
        <v>30</v>
      </c>
      <c r="G707" s="38">
        <v>1</v>
      </c>
      <c r="H707" s="37" t="s">
        <v>4</v>
      </c>
      <c r="I707" s="37" t="s">
        <v>240</v>
      </c>
      <c r="J707" s="37"/>
      <c r="K707" s="6">
        <f>SUM(K708)</f>
        <v>345</v>
      </c>
    </row>
    <row r="708" spans="1:11" s="26" customFormat="1" ht="31.2" x14ac:dyDescent="0.25">
      <c r="A708" s="104"/>
      <c r="B708" s="46" t="s">
        <v>123</v>
      </c>
      <c r="C708" s="2">
        <v>923</v>
      </c>
      <c r="D708" s="37" t="s">
        <v>7</v>
      </c>
      <c r="E708" s="37" t="s">
        <v>7</v>
      </c>
      <c r="F708" s="37" t="s">
        <v>30</v>
      </c>
      <c r="G708" s="38">
        <v>1</v>
      </c>
      <c r="H708" s="37" t="s">
        <v>4</v>
      </c>
      <c r="I708" s="37" t="s">
        <v>240</v>
      </c>
      <c r="J708" s="37" t="s">
        <v>49</v>
      </c>
      <c r="K708" s="6">
        <v>345</v>
      </c>
    </row>
    <row r="709" spans="1:11" s="26" customFormat="1" x14ac:dyDescent="0.25">
      <c r="A709" s="104"/>
      <c r="B709" s="46" t="s">
        <v>475</v>
      </c>
      <c r="C709" s="2">
        <v>923</v>
      </c>
      <c r="D709" s="39" t="s">
        <v>7</v>
      </c>
      <c r="E709" s="39" t="s">
        <v>7</v>
      </c>
      <c r="F709" s="37" t="s">
        <v>30</v>
      </c>
      <c r="G709" s="37" t="s">
        <v>90</v>
      </c>
      <c r="H709" s="37" t="s">
        <v>5</v>
      </c>
      <c r="I709" s="37"/>
      <c r="J709" s="39"/>
      <c r="K709" s="6">
        <f t="shared" ref="K709" si="34">SUM(K710)</f>
        <v>106165.09999999999</v>
      </c>
    </row>
    <row r="710" spans="1:11" s="26" customFormat="1" ht="46.8" x14ac:dyDescent="0.25">
      <c r="A710" s="104"/>
      <c r="B710" s="53" t="s">
        <v>66</v>
      </c>
      <c r="C710" s="2">
        <v>923</v>
      </c>
      <c r="D710" s="39" t="s">
        <v>7</v>
      </c>
      <c r="E710" s="39" t="s">
        <v>7</v>
      </c>
      <c r="F710" s="37" t="s">
        <v>30</v>
      </c>
      <c r="G710" s="37" t="s">
        <v>90</v>
      </c>
      <c r="H710" s="37" t="s">
        <v>5</v>
      </c>
      <c r="I710" s="37" t="s">
        <v>85</v>
      </c>
      <c r="J710" s="39"/>
      <c r="K710" s="6">
        <f>K711+K712+K713+K714</f>
        <v>106165.09999999999</v>
      </c>
    </row>
    <row r="711" spans="1:11" s="26" customFormat="1" ht="46.95" customHeight="1" x14ac:dyDescent="0.25">
      <c r="A711" s="104"/>
      <c r="B711" s="1" t="s">
        <v>122</v>
      </c>
      <c r="C711" s="2">
        <v>923</v>
      </c>
      <c r="D711" s="39" t="s">
        <v>7</v>
      </c>
      <c r="E711" s="39" t="s">
        <v>7</v>
      </c>
      <c r="F711" s="37" t="s">
        <v>30</v>
      </c>
      <c r="G711" s="37" t="s">
        <v>90</v>
      </c>
      <c r="H711" s="37" t="s">
        <v>5</v>
      </c>
      <c r="I711" s="37" t="s">
        <v>85</v>
      </c>
      <c r="J711" s="39" t="s">
        <v>48</v>
      </c>
      <c r="K711" s="6">
        <f>19984-2393.7</f>
        <v>17590.3</v>
      </c>
    </row>
    <row r="712" spans="1:11" s="26" customFormat="1" ht="31.2" x14ac:dyDescent="0.25">
      <c r="A712" s="104"/>
      <c r="B712" s="1" t="s">
        <v>123</v>
      </c>
      <c r="C712" s="2">
        <v>923</v>
      </c>
      <c r="D712" s="39" t="s">
        <v>7</v>
      </c>
      <c r="E712" s="39" t="s">
        <v>7</v>
      </c>
      <c r="F712" s="37" t="s">
        <v>30</v>
      </c>
      <c r="G712" s="37" t="s">
        <v>90</v>
      </c>
      <c r="H712" s="37" t="s">
        <v>5</v>
      </c>
      <c r="I712" s="37" t="s">
        <v>85</v>
      </c>
      <c r="J712" s="39" t="s">
        <v>49</v>
      </c>
      <c r="K712" s="6">
        <f>4962.7-128.1-2407.6+(-25)</f>
        <v>2401.9999999999995</v>
      </c>
    </row>
    <row r="713" spans="1:11" s="26" customFormat="1" ht="31.2" x14ac:dyDescent="0.25">
      <c r="A713" s="104"/>
      <c r="B713" s="43" t="s">
        <v>121</v>
      </c>
      <c r="C713" s="2">
        <v>923</v>
      </c>
      <c r="D713" s="39" t="s">
        <v>7</v>
      </c>
      <c r="E713" s="39" t="s">
        <v>7</v>
      </c>
      <c r="F713" s="37" t="s">
        <v>30</v>
      </c>
      <c r="G713" s="37" t="s">
        <v>90</v>
      </c>
      <c r="H713" s="37" t="s">
        <v>5</v>
      </c>
      <c r="I713" s="37" t="s">
        <v>85</v>
      </c>
      <c r="J713" s="39" t="s">
        <v>59</v>
      </c>
      <c r="K713" s="6">
        <f>2713.3+11819.5+17482.6+69189.6+7548.5-25031.1+2378.4</f>
        <v>86100.799999999988</v>
      </c>
    </row>
    <row r="714" spans="1:11" s="26" customFormat="1" x14ac:dyDescent="0.25">
      <c r="A714" s="104"/>
      <c r="B714" s="43" t="s">
        <v>50</v>
      </c>
      <c r="C714" s="2">
        <v>923</v>
      </c>
      <c r="D714" s="39" t="s">
        <v>7</v>
      </c>
      <c r="E714" s="39" t="s">
        <v>7</v>
      </c>
      <c r="F714" s="37" t="s">
        <v>30</v>
      </c>
      <c r="G714" s="37" t="s">
        <v>90</v>
      </c>
      <c r="H714" s="37" t="s">
        <v>5</v>
      </c>
      <c r="I714" s="37" t="s">
        <v>85</v>
      </c>
      <c r="J714" s="39" t="s">
        <v>51</v>
      </c>
      <c r="K714" s="6">
        <f>84.4-12.4</f>
        <v>72</v>
      </c>
    </row>
    <row r="715" spans="1:11" s="26" customFormat="1" x14ac:dyDescent="0.25">
      <c r="A715" s="104"/>
      <c r="B715" s="43" t="s">
        <v>509</v>
      </c>
      <c r="C715" s="2">
        <v>923</v>
      </c>
      <c r="D715" s="39" t="s">
        <v>7</v>
      </c>
      <c r="E715" s="39" t="s">
        <v>7</v>
      </c>
      <c r="F715" s="37" t="s">
        <v>30</v>
      </c>
      <c r="G715" s="37" t="s">
        <v>129</v>
      </c>
      <c r="H715" s="37"/>
      <c r="I715" s="37"/>
      <c r="J715" s="39"/>
      <c r="K715" s="6">
        <f>SUM(K716)</f>
        <v>7780</v>
      </c>
    </row>
    <row r="716" spans="1:11" s="26" customFormat="1" x14ac:dyDescent="0.25">
      <c r="A716" s="104"/>
      <c r="B716" s="43" t="s">
        <v>464</v>
      </c>
      <c r="C716" s="2">
        <v>923</v>
      </c>
      <c r="D716" s="39" t="s">
        <v>7</v>
      </c>
      <c r="E716" s="39" t="s">
        <v>7</v>
      </c>
      <c r="F716" s="37" t="s">
        <v>30</v>
      </c>
      <c r="G716" s="37" t="s">
        <v>129</v>
      </c>
      <c r="H716" s="37" t="s">
        <v>2</v>
      </c>
      <c r="I716" s="37"/>
      <c r="J716" s="39"/>
      <c r="K716" s="6">
        <f>SUM(K719+K717)</f>
        <v>7780</v>
      </c>
    </row>
    <row r="717" spans="1:11" s="26" customFormat="1" x14ac:dyDescent="0.25">
      <c r="A717" s="104"/>
      <c r="B717" s="43" t="s">
        <v>510</v>
      </c>
      <c r="C717" s="2">
        <v>923</v>
      </c>
      <c r="D717" s="39" t="s">
        <v>7</v>
      </c>
      <c r="E717" s="39" t="s">
        <v>7</v>
      </c>
      <c r="F717" s="37" t="s">
        <v>30</v>
      </c>
      <c r="G717" s="37" t="s">
        <v>129</v>
      </c>
      <c r="H717" s="37" t="s">
        <v>2</v>
      </c>
      <c r="I717" s="37" t="s">
        <v>565</v>
      </c>
      <c r="J717" s="39"/>
      <c r="K717" s="6">
        <f>K718</f>
        <v>3680</v>
      </c>
    </row>
    <row r="718" spans="1:11" s="26" customFormat="1" ht="31.2" x14ac:dyDescent="0.25">
      <c r="A718" s="104"/>
      <c r="B718" s="46" t="s">
        <v>123</v>
      </c>
      <c r="C718" s="2">
        <v>923</v>
      </c>
      <c r="D718" s="39" t="s">
        <v>7</v>
      </c>
      <c r="E718" s="39" t="s">
        <v>7</v>
      </c>
      <c r="F718" s="37" t="s">
        <v>30</v>
      </c>
      <c r="G718" s="37" t="s">
        <v>129</v>
      </c>
      <c r="H718" s="37" t="s">
        <v>2</v>
      </c>
      <c r="I718" s="37" t="s">
        <v>565</v>
      </c>
      <c r="J718" s="39" t="s">
        <v>49</v>
      </c>
      <c r="K718" s="6">
        <f>3625+55</f>
        <v>3680</v>
      </c>
    </row>
    <row r="719" spans="1:11" s="26" customFormat="1" x14ac:dyDescent="0.25">
      <c r="A719" s="104"/>
      <c r="B719" s="43" t="s">
        <v>510</v>
      </c>
      <c r="C719" s="2">
        <v>923</v>
      </c>
      <c r="D719" s="39" t="s">
        <v>7</v>
      </c>
      <c r="E719" s="39" t="s">
        <v>7</v>
      </c>
      <c r="F719" s="37" t="s">
        <v>30</v>
      </c>
      <c r="G719" s="37" t="s">
        <v>129</v>
      </c>
      <c r="H719" s="37" t="s">
        <v>2</v>
      </c>
      <c r="I719" s="37" t="s">
        <v>463</v>
      </c>
      <c r="J719" s="39"/>
      <c r="K719" s="6">
        <f>SUM(K720)</f>
        <v>4100</v>
      </c>
    </row>
    <row r="720" spans="1:11" s="26" customFormat="1" ht="31.2" x14ac:dyDescent="0.25">
      <c r="A720" s="104"/>
      <c r="B720" s="46" t="s">
        <v>123</v>
      </c>
      <c r="C720" s="2">
        <v>923</v>
      </c>
      <c r="D720" s="39" t="s">
        <v>7</v>
      </c>
      <c r="E720" s="39" t="s">
        <v>7</v>
      </c>
      <c r="F720" s="37" t="s">
        <v>30</v>
      </c>
      <c r="G720" s="37" t="s">
        <v>129</v>
      </c>
      <c r="H720" s="37" t="s">
        <v>2</v>
      </c>
      <c r="I720" s="37" t="s">
        <v>463</v>
      </c>
      <c r="J720" s="39" t="s">
        <v>49</v>
      </c>
      <c r="K720" s="6">
        <v>4100</v>
      </c>
    </row>
    <row r="721" spans="1:11" s="26" customFormat="1" x14ac:dyDescent="0.25">
      <c r="A721" s="104"/>
      <c r="B721" s="46" t="s">
        <v>567</v>
      </c>
      <c r="C721" s="2">
        <v>923</v>
      </c>
      <c r="D721" s="39" t="s">
        <v>7</v>
      </c>
      <c r="E721" s="39" t="s">
        <v>7</v>
      </c>
      <c r="F721" s="37" t="s">
        <v>30</v>
      </c>
      <c r="G721" s="37" t="s">
        <v>95</v>
      </c>
      <c r="H721" s="37"/>
      <c r="I721" s="37"/>
      <c r="J721" s="39"/>
      <c r="K721" s="6">
        <f>K722</f>
        <v>6303.3</v>
      </c>
    </row>
    <row r="722" spans="1:11" s="26" customFormat="1" x14ac:dyDescent="0.25">
      <c r="A722" s="104"/>
      <c r="B722" s="46" t="s">
        <v>568</v>
      </c>
      <c r="C722" s="2">
        <v>923</v>
      </c>
      <c r="D722" s="39" t="s">
        <v>7</v>
      </c>
      <c r="E722" s="39" t="s">
        <v>7</v>
      </c>
      <c r="F722" s="37" t="s">
        <v>30</v>
      </c>
      <c r="G722" s="37" t="s">
        <v>95</v>
      </c>
      <c r="H722" s="37" t="s">
        <v>2</v>
      </c>
      <c r="I722" s="37"/>
      <c r="J722" s="39"/>
      <c r="K722" s="6">
        <f>K723</f>
        <v>6303.3</v>
      </c>
    </row>
    <row r="723" spans="1:11" s="26" customFormat="1" ht="31.2" x14ac:dyDescent="0.25">
      <c r="A723" s="104"/>
      <c r="B723" s="46" t="s">
        <v>569</v>
      </c>
      <c r="C723" s="2">
        <v>923</v>
      </c>
      <c r="D723" s="39" t="s">
        <v>7</v>
      </c>
      <c r="E723" s="39" t="s">
        <v>7</v>
      </c>
      <c r="F723" s="37" t="s">
        <v>30</v>
      </c>
      <c r="G723" s="37" t="s">
        <v>95</v>
      </c>
      <c r="H723" s="37" t="s">
        <v>2</v>
      </c>
      <c r="I723" s="37" t="s">
        <v>566</v>
      </c>
      <c r="J723" s="39"/>
      <c r="K723" s="6">
        <f>K724+K725</f>
        <v>6303.3</v>
      </c>
    </row>
    <row r="724" spans="1:11" s="26" customFormat="1" ht="31.2" x14ac:dyDescent="0.25">
      <c r="A724" s="104"/>
      <c r="B724" s="46" t="s">
        <v>123</v>
      </c>
      <c r="C724" s="2">
        <v>923</v>
      </c>
      <c r="D724" s="39" t="s">
        <v>7</v>
      </c>
      <c r="E724" s="39" t="s">
        <v>7</v>
      </c>
      <c r="F724" s="37" t="s">
        <v>30</v>
      </c>
      <c r="G724" s="37" t="s">
        <v>95</v>
      </c>
      <c r="H724" s="37" t="s">
        <v>2</v>
      </c>
      <c r="I724" s="37" t="s">
        <v>566</v>
      </c>
      <c r="J724" s="39" t="s">
        <v>49</v>
      </c>
      <c r="K724" s="6">
        <f>559-50.7</f>
        <v>508.3</v>
      </c>
    </row>
    <row r="725" spans="1:11" s="26" customFormat="1" ht="31.2" x14ac:dyDescent="0.25">
      <c r="A725" s="104"/>
      <c r="B725" s="46" t="s">
        <v>75</v>
      </c>
      <c r="C725" s="2">
        <v>923</v>
      </c>
      <c r="D725" s="39" t="s">
        <v>7</v>
      </c>
      <c r="E725" s="39" t="s">
        <v>7</v>
      </c>
      <c r="F725" s="37" t="s">
        <v>30</v>
      </c>
      <c r="G725" s="37" t="s">
        <v>95</v>
      </c>
      <c r="H725" s="37" t="s">
        <v>2</v>
      </c>
      <c r="I725" s="37" t="s">
        <v>566</v>
      </c>
      <c r="J725" s="39" t="s">
        <v>54</v>
      </c>
      <c r="K725" s="6">
        <f>4700+1095</f>
        <v>5795</v>
      </c>
    </row>
    <row r="726" spans="1:11" s="26" customFormat="1" x14ac:dyDescent="0.25">
      <c r="A726" s="104"/>
      <c r="B726" s="46" t="s">
        <v>18</v>
      </c>
      <c r="C726" s="2">
        <v>923</v>
      </c>
      <c r="D726" s="37" t="s">
        <v>8</v>
      </c>
      <c r="E726" s="37"/>
      <c r="F726" s="37"/>
      <c r="G726" s="37"/>
      <c r="H726" s="37"/>
      <c r="I726" s="37"/>
      <c r="J726" s="37"/>
      <c r="K726" s="6">
        <f t="shared" si="33"/>
        <v>126</v>
      </c>
    </row>
    <row r="727" spans="1:11" s="26" customFormat="1" ht="18.75" customHeight="1" x14ac:dyDescent="0.25">
      <c r="A727" s="104"/>
      <c r="B727" s="46" t="s">
        <v>235</v>
      </c>
      <c r="C727" s="2">
        <v>923</v>
      </c>
      <c r="D727" s="37" t="s">
        <v>8</v>
      </c>
      <c r="E727" s="37" t="s">
        <v>7</v>
      </c>
      <c r="F727" s="37"/>
      <c r="G727" s="37"/>
      <c r="H727" s="37"/>
      <c r="I727" s="37"/>
      <c r="J727" s="39"/>
      <c r="K727" s="6">
        <f>SUM(K728)</f>
        <v>126</v>
      </c>
    </row>
    <row r="728" spans="1:11" s="26" customFormat="1" ht="18" customHeight="1" x14ac:dyDescent="0.25">
      <c r="A728" s="104"/>
      <c r="B728" s="53" t="s">
        <v>383</v>
      </c>
      <c r="C728" s="2">
        <v>923</v>
      </c>
      <c r="D728" s="37" t="s">
        <v>8</v>
      </c>
      <c r="E728" s="37" t="s">
        <v>7</v>
      </c>
      <c r="F728" s="37" t="s">
        <v>30</v>
      </c>
      <c r="G728" s="37"/>
      <c r="H728" s="37"/>
      <c r="I728" s="37"/>
      <c r="J728" s="39"/>
      <c r="K728" s="6">
        <f t="shared" si="33"/>
        <v>126</v>
      </c>
    </row>
    <row r="729" spans="1:11" s="26" customFormat="1" ht="31.2" x14ac:dyDescent="0.25">
      <c r="A729" s="104"/>
      <c r="B729" s="46" t="s">
        <v>384</v>
      </c>
      <c r="C729" s="2">
        <v>923</v>
      </c>
      <c r="D729" s="37" t="s">
        <v>8</v>
      </c>
      <c r="E729" s="37" t="s">
        <v>7</v>
      </c>
      <c r="F729" s="37" t="s">
        <v>30</v>
      </c>
      <c r="G729" s="37" t="s">
        <v>90</v>
      </c>
      <c r="H729" s="37"/>
      <c r="I729" s="37"/>
      <c r="J729" s="39"/>
      <c r="K729" s="6">
        <f t="shared" si="33"/>
        <v>126</v>
      </c>
    </row>
    <row r="730" spans="1:11" s="26" customFormat="1" x14ac:dyDescent="0.25">
      <c r="A730" s="104"/>
      <c r="B730" s="46" t="s">
        <v>148</v>
      </c>
      <c r="C730" s="2">
        <v>923</v>
      </c>
      <c r="D730" s="37" t="s">
        <v>8</v>
      </c>
      <c r="E730" s="37" t="s">
        <v>7</v>
      </c>
      <c r="F730" s="37" t="s">
        <v>30</v>
      </c>
      <c r="G730" s="37" t="s">
        <v>90</v>
      </c>
      <c r="H730" s="37" t="s">
        <v>4</v>
      </c>
      <c r="I730" s="37"/>
      <c r="J730" s="39"/>
      <c r="K730" s="6">
        <f>SUM(K731)</f>
        <v>126</v>
      </c>
    </row>
    <row r="731" spans="1:11" s="26" customFormat="1" x14ac:dyDescent="0.25">
      <c r="A731" s="104"/>
      <c r="B731" s="46" t="s">
        <v>237</v>
      </c>
      <c r="C731" s="2">
        <v>923</v>
      </c>
      <c r="D731" s="37" t="s">
        <v>8</v>
      </c>
      <c r="E731" s="37" t="s">
        <v>7</v>
      </c>
      <c r="F731" s="37" t="s">
        <v>30</v>
      </c>
      <c r="G731" s="37" t="s">
        <v>90</v>
      </c>
      <c r="H731" s="37" t="s">
        <v>4</v>
      </c>
      <c r="I731" s="37" t="s">
        <v>236</v>
      </c>
      <c r="J731" s="39"/>
      <c r="K731" s="6">
        <f t="shared" si="33"/>
        <v>126</v>
      </c>
    </row>
    <row r="732" spans="1:11" s="26" customFormat="1" ht="31.2" x14ac:dyDescent="0.25">
      <c r="A732" s="104"/>
      <c r="B732" s="46" t="s">
        <v>123</v>
      </c>
      <c r="C732" s="2">
        <v>923</v>
      </c>
      <c r="D732" s="37" t="s">
        <v>8</v>
      </c>
      <c r="E732" s="37" t="s">
        <v>7</v>
      </c>
      <c r="F732" s="37" t="s">
        <v>30</v>
      </c>
      <c r="G732" s="37" t="s">
        <v>90</v>
      </c>
      <c r="H732" s="37" t="s">
        <v>4</v>
      </c>
      <c r="I732" s="37" t="s">
        <v>236</v>
      </c>
      <c r="J732" s="39" t="s">
        <v>49</v>
      </c>
      <c r="K732" s="6">
        <v>126</v>
      </c>
    </row>
    <row r="733" spans="1:11" s="26" customFormat="1" x14ac:dyDescent="0.25">
      <c r="A733" s="55"/>
      <c r="B733" s="46" t="s">
        <v>20</v>
      </c>
      <c r="C733" s="2">
        <v>923</v>
      </c>
      <c r="D733" s="37" t="s">
        <v>21</v>
      </c>
      <c r="E733" s="37"/>
      <c r="F733" s="37"/>
      <c r="G733" s="37"/>
      <c r="H733" s="37"/>
      <c r="I733" s="37"/>
      <c r="J733" s="39"/>
      <c r="K733" s="6">
        <f t="shared" ref="K733:K738" si="35">K734</f>
        <v>14920</v>
      </c>
    </row>
    <row r="734" spans="1:11" s="26" customFormat="1" x14ac:dyDescent="0.25">
      <c r="A734" s="55"/>
      <c r="B734" s="3" t="s">
        <v>28</v>
      </c>
      <c r="C734" s="2">
        <v>923</v>
      </c>
      <c r="D734" s="37" t="s">
        <v>21</v>
      </c>
      <c r="E734" s="37" t="s">
        <v>5</v>
      </c>
      <c r="F734" s="37"/>
      <c r="G734" s="38"/>
      <c r="H734" s="37"/>
      <c r="I734" s="37"/>
      <c r="J734" s="37"/>
      <c r="K734" s="6">
        <f t="shared" si="35"/>
        <v>14920</v>
      </c>
    </row>
    <row r="735" spans="1:11" s="26" customFormat="1" ht="31.2" x14ac:dyDescent="0.25">
      <c r="A735" s="55"/>
      <c r="B735" s="40" t="s">
        <v>361</v>
      </c>
      <c r="C735" s="2">
        <v>923</v>
      </c>
      <c r="D735" s="37" t="s">
        <v>21</v>
      </c>
      <c r="E735" s="37" t="s">
        <v>5</v>
      </c>
      <c r="F735" s="37" t="s">
        <v>98</v>
      </c>
      <c r="G735" s="37"/>
      <c r="H735" s="37"/>
      <c r="I735" s="37"/>
      <c r="J735" s="39"/>
      <c r="K735" s="6">
        <f t="shared" si="35"/>
        <v>14920</v>
      </c>
    </row>
    <row r="736" spans="1:11" s="26" customFormat="1" ht="31.2" x14ac:dyDescent="0.25">
      <c r="A736" s="55"/>
      <c r="B736" s="40" t="s">
        <v>362</v>
      </c>
      <c r="C736" s="2">
        <v>923</v>
      </c>
      <c r="D736" s="37" t="s">
        <v>21</v>
      </c>
      <c r="E736" s="37" t="s">
        <v>5</v>
      </c>
      <c r="F736" s="37" t="s">
        <v>98</v>
      </c>
      <c r="G736" s="37" t="s">
        <v>90</v>
      </c>
      <c r="H736" s="37"/>
      <c r="I736" s="37"/>
      <c r="J736" s="37"/>
      <c r="K736" s="6">
        <f t="shared" si="35"/>
        <v>14920</v>
      </c>
    </row>
    <row r="737" spans="1:11" s="26" customFormat="1" ht="31.2" x14ac:dyDescent="0.25">
      <c r="A737" s="55"/>
      <c r="B737" s="1" t="s">
        <v>183</v>
      </c>
      <c r="C737" s="2">
        <v>923</v>
      </c>
      <c r="D737" s="37" t="s">
        <v>21</v>
      </c>
      <c r="E737" s="37" t="s">
        <v>5</v>
      </c>
      <c r="F737" s="37" t="s">
        <v>98</v>
      </c>
      <c r="G737" s="37" t="s">
        <v>90</v>
      </c>
      <c r="H737" s="37" t="s">
        <v>2</v>
      </c>
      <c r="I737" s="37"/>
      <c r="J737" s="37"/>
      <c r="K737" s="6">
        <f t="shared" si="35"/>
        <v>14920</v>
      </c>
    </row>
    <row r="738" spans="1:11" s="26" customFormat="1" ht="31.2" x14ac:dyDescent="0.25">
      <c r="A738" s="55"/>
      <c r="B738" s="40" t="s">
        <v>363</v>
      </c>
      <c r="C738" s="2">
        <v>923</v>
      </c>
      <c r="D738" s="37" t="s">
        <v>21</v>
      </c>
      <c r="E738" s="37" t="s">
        <v>5</v>
      </c>
      <c r="F738" s="37" t="s">
        <v>98</v>
      </c>
      <c r="G738" s="37" t="s">
        <v>90</v>
      </c>
      <c r="H738" s="37" t="s">
        <v>2</v>
      </c>
      <c r="I738" s="37" t="s">
        <v>99</v>
      </c>
      <c r="J738" s="37"/>
      <c r="K738" s="6">
        <f t="shared" si="35"/>
        <v>14920</v>
      </c>
    </row>
    <row r="739" spans="1:11" s="26" customFormat="1" x14ac:dyDescent="0.25">
      <c r="A739" s="55"/>
      <c r="B739" s="1" t="s">
        <v>55</v>
      </c>
      <c r="C739" s="2">
        <v>923</v>
      </c>
      <c r="D739" s="37" t="s">
        <v>21</v>
      </c>
      <c r="E739" s="37" t="s">
        <v>5</v>
      </c>
      <c r="F739" s="37" t="s">
        <v>98</v>
      </c>
      <c r="G739" s="37" t="s">
        <v>90</v>
      </c>
      <c r="H739" s="37" t="s">
        <v>2</v>
      </c>
      <c r="I739" s="37" t="s">
        <v>99</v>
      </c>
      <c r="J739" s="37" t="s">
        <v>56</v>
      </c>
      <c r="K739" s="6">
        <v>14920</v>
      </c>
    </row>
    <row r="740" spans="1:11" s="26" customFormat="1" ht="31.2" x14ac:dyDescent="0.25">
      <c r="A740" s="103">
        <v>9</v>
      </c>
      <c r="B740" s="1" t="s">
        <v>478</v>
      </c>
      <c r="C740" s="2">
        <v>925</v>
      </c>
      <c r="D740" s="39"/>
      <c r="E740" s="39"/>
      <c r="F740" s="39"/>
      <c r="G740" s="2"/>
      <c r="H740" s="39"/>
      <c r="I740" s="39"/>
      <c r="J740" s="39"/>
      <c r="K740" s="6">
        <f>SUM(K741+K749+K971)</f>
        <v>3102354.5999999996</v>
      </c>
    </row>
    <row r="741" spans="1:11" s="26" customFormat="1" x14ac:dyDescent="0.25">
      <c r="A741" s="104"/>
      <c r="B741" s="1" t="s">
        <v>14</v>
      </c>
      <c r="C741" s="2">
        <v>925</v>
      </c>
      <c r="D741" s="39" t="s">
        <v>5</v>
      </c>
      <c r="E741" s="39"/>
      <c r="F741" s="39"/>
      <c r="G741" s="2"/>
      <c r="H741" s="39"/>
      <c r="I741" s="39"/>
      <c r="J741" s="39"/>
      <c r="K741" s="6">
        <f>SUM(K742)</f>
        <v>214.1</v>
      </c>
    </row>
    <row r="742" spans="1:11" s="26" customFormat="1" ht="31.2" x14ac:dyDescent="0.25">
      <c r="A742" s="104"/>
      <c r="B742" s="1" t="s">
        <v>130</v>
      </c>
      <c r="C742" s="2">
        <v>925</v>
      </c>
      <c r="D742" s="39" t="s">
        <v>5</v>
      </c>
      <c r="E742" s="37" t="s">
        <v>10</v>
      </c>
      <c r="F742" s="37"/>
      <c r="G742" s="38"/>
      <c r="H742" s="37"/>
      <c r="I742" s="37"/>
      <c r="J742" s="39"/>
      <c r="K742" s="6">
        <f t="shared" ref="K742" si="36">K743</f>
        <v>214.1</v>
      </c>
    </row>
    <row r="743" spans="1:11" s="26" customFormat="1" x14ac:dyDescent="0.25">
      <c r="A743" s="104"/>
      <c r="B743" s="40" t="s">
        <v>352</v>
      </c>
      <c r="C743" s="2">
        <v>925</v>
      </c>
      <c r="D743" s="37" t="s">
        <v>5</v>
      </c>
      <c r="E743" s="37" t="s">
        <v>10</v>
      </c>
      <c r="F743" s="37" t="s">
        <v>83</v>
      </c>
      <c r="G743" s="37"/>
      <c r="H743" s="37"/>
      <c r="I743" s="37"/>
      <c r="J743" s="39"/>
      <c r="K743" s="6">
        <f>K744</f>
        <v>214.1</v>
      </c>
    </row>
    <row r="744" spans="1:11" s="26" customFormat="1" ht="46.8" x14ac:dyDescent="0.25">
      <c r="A744" s="104"/>
      <c r="B744" s="40" t="s">
        <v>353</v>
      </c>
      <c r="C744" s="2">
        <v>925</v>
      </c>
      <c r="D744" s="37" t="s">
        <v>5</v>
      </c>
      <c r="E744" s="37" t="s">
        <v>10</v>
      </c>
      <c r="F744" s="37" t="s">
        <v>83</v>
      </c>
      <c r="G744" s="37" t="s">
        <v>117</v>
      </c>
      <c r="H744" s="37"/>
      <c r="I744" s="37"/>
      <c r="J744" s="39"/>
      <c r="K744" s="6">
        <f>SUM(K745)</f>
        <v>214.1</v>
      </c>
    </row>
    <row r="745" spans="1:11" s="26" customFormat="1" ht="30.6" customHeight="1" x14ac:dyDescent="0.25">
      <c r="A745" s="104"/>
      <c r="B745" s="40" t="s">
        <v>131</v>
      </c>
      <c r="C745" s="2">
        <v>925</v>
      </c>
      <c r="D745" s="37" t="s">
        <v>5</v>
      </c>
      <c r="E745" s="37" t="s">
        <v>10</v>
      </c>
      <c r="F745" s="37" t="s">
        <v>83</v>
      </c>
      <c r="G745" s="37" t="s">
        <v>117</v>
      </c>
      <c r="H745" s="37" t="s">
        <v>2</v>
      </c>
      <c r="I745" s="37"/>
      <c r="J745" s="39"/>
      <c r="K745" s="6">
        <f>SUM(K746)</f>
        <v>214.1</v>
      </c>
    </row>
    <row r="746" spans="1:11" s="26" customFormat="1" ht="31.2" x14ac:dyDescent="0.25">
      <c r="A746" s="104"/>
      <c r="B746" s="40" t="s">
        <v>132</v>
      </c>
      <c r="C746" s="2">
        <v>925</v>
      </c>
      <c r="D746" s="37" t="s">
        <v>5</v>
      </c>
      <c r="E746" s="37" t="s">
        <v>10</v>
      </c>
      <c r="F746" s="37" t="s">
        <v>83</v>
      </c>
      <c r="G746" s="37" t="s">
        <v>117</v>
      </c>
      <c r="H746" s="37" t="s">
        <v>2</v>
      </c>
      <c r="I746" s="37" t="s">
        <v>135</v>
      </c>
      <c r="J746" s="39"/>
      <c r="K746" s="6">
        <f>SUM(K747:K748)</f>
        <v>214.1</v>
      </c>
    </row>
    <row r="747" spans="1:11" s="26" customFormat="1" ht="31.2" x14ac:dyDescent="0.25">
      <c r="A747" s="104"/>
      <c r="B747" s="1" t="s">
        <v>123</v>
      </c>
      <c r="C747" s="2">
        <v>925</v>
      </c>
      <c r="D747" s="37" t="s">
        <v>5</v>
      </c>
      <c r="E747" s="37" t="s">
        <v>10</v>
      </c>
      <c r="F747" s="37" t="s">
        <v>83</v>
      </c>
      <c r="G747" s="37" t="s">
        <v>117</v>
      </c>
      <c r="H747" s="37" t="s">
        <v>2</v>
      </c>
      <c r="I747" s="37" t="s">
        <v>135</v>
      </c>
      <c r="J747" s="39" t="s">
        <v>49</v>
      </c>
      <c r="K747" s="6">
        <f>39.6+71.5+103</f>
        <v>214.1</v>
      </c>
    </row>
    <row r="748" spans="1:11" s="26" customFormat="1" ht="31.2" x14ac:dyDescent="0.25">
      <c r="A748" s="104"/>
      <c r="B748" s="43" t="s">
        <v>121</v>
      </c>
      <c r="C748" s="2">
        <v>925</v>
      </c>
      <c r="D748" s="37" t="s">
        <v>5</v>
      </c>
      <c r="E748" s="37" t="s">
        <v>10</v>
      </c>
      <c r="F748" s="37" t="s">
        <v>83</v>
      </c>
      <c r="G748" s="37" t="s">
        <v>117</v>
      </c>
      <c r="H748" s="37" t="s">
        <v>2</v>
      </c>
      <c r="I748" s="37" t="s">
        <v>135</v>
      </c>
      <c r="J748" s="39" t="s">
        <v>59</v>
      </c>
      <c r="K748" s="6"/>
    </row>
    <row r="749" spans="1:11" s="26" customFormat="1" x14ac:dyDescent="0.25">
      <c r="A749" s="104"/>
      <c r="B749" s="1" t="s">
        <v>18</v>
      </c>
      <c r="C749" s="2">
        <v>925</v>
      </c>
      <c r="D749" s="37" t="s">
        <v>8</v>
      </c>
      <c r="E749" s="39"/>
      <c r="F749" s="39"/>
      <c r="G749" s="2"/>
      <c r="H749" s="39"/>
      <c r="I749" s="39"/>
      <c r="J749" s="39"/>
      <c r="K749" s="6">
        <f>SUM(K750+K791+K892+K863+K886+K777)</f>
        <v>3088230.6999999997</v>
      </c>
    </row>
    <row r="750" spans="1:11" s="26" customFormat="1" x14ac:dyDescent="0.25">
      <c r="A750" s="104"/>
      <c r="B750" s="1" t="s">
        <v>25</v>
      </c>
      <c r="C750" s="2">
        <v>925</v>
      </c>
      <c r="D750" s="39" t="s">
        <v>8</v>
      </c>
      <c r="E750" s="39" t="s">
        <v>2</v>
      </c>
      <c r="F750" s="39"/>
      <c r="G750" s="2"/>
      <c r="H750" s="39"/>
      <c r="I750" s="39"/>
      <c r="J750" s="39"/>
      <c r="K750" s="6">
        <f>SUM(K751+K782)</f>
        <v>1024579.5999999999</v>
      </c>
    </row>
    <row r="751" spans="1:11" s="26" customFormat="1" x14ac:dyDescent="0.25">
      <c r="A751" s="104"/>
      <c r="B751" s="40" t="s">
        <v>385</v>
      </c>
      <c r="C751" s="2">
        <v>925</v>
      </c>
      <c r="D751" s="39" t="s">
        <v>8</v>
      </c>
      <c r="E751" s="39" t="s">
        <v>2</v>
      </c>
      <c r="F751" s="39" t="s">
        <v>2</v>
      </c>
      <c r="G751" s="2"/>
      <c r="H751" s="39"/>
      <c r="I751" s="39"/>
      <c r="J751" s="39"/>
      <c r="K751" s="6">
        <f t="shared" ref="K751" si="37">SUM(K752)</f>
        <v>982110.39999999991</v>
      </c>
    </row>
    <row r="752" spans="1:11" s="26" customFormat="1" ht="19.5" customHeight="1" x14ac:dyDescent="0.25">
      <c r="A752" s="104"/>
      <c r="B752" s="40" t="s">
        <v>386</v>
      </c>
      <c r="C752" s="2">
        <v>925</v>
      </c>
      <c r="D752" s="39" t="s">
        <v>8</v>
      </c>
      <c r="E752" s="39" t="s">
        <v>2</v>
      </c>
      <c r="F752" s="39" t="s">
        <v>2</v>
      </c>
      <c r="G752" s="2">
        <v>1</v>
      </c>
      <c r="H752" s="39"/>
      <c r="I752" s="39"/>
      <c r="J752" s="39"/>
      <c r="K752" s="6">
        <f>SUM(K753+K774+K762+K769)</f>
        <v>982110.39999999991</v>
      </c>
    </row>
    <row r="753" spans="1:11" s="26" customFormat="1" ht="62.4" x14ac:dyDescent="0.25">
      <c r="A753" s="104"/>
      <c r="B753" s="40" t="s">
        <v>387</v>
      </c>
      <c r="C753" s="2">
        <v>925</v>
      </c>
      <c r="D753" s="39" t="s">
        <v>8</v>
      </c>
      <c r="E753" s="39" t="s">
        <v>2</v>
      </c>
      <c r="F753" s="39" t="s">
        <v>2</v>
      </c>
      <c r="G753" s="2">
        <v>1</v>
      </c>
      <c r="H753" s="39" t="s">
        <v>2</v>
      </c>
      <c r="I753" s="39"/>
      <c r="J753" s="39"/>
      <c r="K753" s="6">
        <f>K760+K758+K756+K754</f>
        <v>27233.999999999996</v>
      </c>
    </row>
    <row r="754" spans="1:11" s="26" customFormat="1" ht="31.2" x14ac:dyDescent="0.25">
      <c r="A754" s="104"/>
      <c r="B754" s="40" t="s">
        <v>575</v>
      </c>
      <c r="C754" s="2">
        <v>925</v>
      </c>
      <c r="D754" s="39" t="s">
        <v>8</v>
      </c>
      <c r="E754" s="39" t="s">
        <v>2</v>
      </c>
      <c r="F754" s="37" t="s">
        <v>2</v>
      </c>
      <c r="G754" s="37" t="s">
        <v>90</v>
      </c>
      <c r="H754" s="37" t="s">
        <v>2</v>
      </c>
      <c r="I754" s="37" t="s">
        <v>503</v>
      </c>
      <c r="J754" s="39"/>
      <c r="K754" s="6">
        <f>K755</f>
        <v>27233.999999999996</v>
      </c>
    </row>
    <row r="755" spans="1:11" s="26" customFormat="1" ht="31.2" x14ac:dyDescent="0.25">
      <c r="A755" s="104"/>
      <c r="B755" s="43" t="s">
        <v>121</v>
      </c>
      <c r="C755" s="2">
        <v>925</v>
      </c>
      <c r="D755" s="39" t="s">
        <v>8</v>
      </c>
      <c r="E755" s="39" t="s">
        <v>2</v>
      </c>
      <c r="F755" s="37" t="s">
        <v>2</v>
      </c>
      <c r="G755" s="37" t="s">
        <v>90</v>
      </c>
      <c r="H755" s="37" t="s">
        <v>2</v>
      </c>
      <c r="I755" s="37" t="s">
        <v>503</v>
      </c>
      <c r="J755" s="39" t="s">
        <v>59</v>
      </c>
      <c r="K755" s="6">
        <f>11014.4+15309.9+524+470.1-215.9+435.2-303.7</f>
        <v>27233.999999999996</v>
      </c>
    </row>
    <row r="756" spans="1:11" s="26" customFormat="1" ht="31.2" x14ac:dyDescent="0.25">
      <c r="A756" s="104"/>
      <c r="B756" s="40" t="s">
        <v>286</v>
      </c>
      <c r="C756" s="2">
        <v>925</v>
      </c>
      <c r="D756" s="39" t="s">
        <v>8</v>
      </c>
      <c r="E756" s="39" t="s">
        <v>2</v>
      </c>
      <c r="F756" s="37" t="s">
        <v>2</v>
      </c>
      <c r="G756" s="37" t="s">
        <v>90</v>
      </c>
      <c r="H756" s="37" t="s">
        <v>2</v>
      </c>
      <c r="I756" s="37" t="s">
        <v>287</v>
      </c>
      <c r="J756" s="39"/>
      <c r="K756" s="6">
        <f>K757</f>
        <v>0</v>
      </c>
    </row>
    <row r="757" spans="1:11" s="26" customFormat="1" ht="31.2" x14ac:dyDescent="0.25">
      <c r="A757" s="104"/>
      <c r="B757" s="43" t="s">
        <v>121</v>
      </c>
      <c r="C757" s="2">
        <v>925</v>
      </c>
      <c r="D757" s="39" t="s">
        <v>8</v>
      </c>
      <c r="E757" s="39" t="s">
        <v>2</v>
      </c>
      <c r="F757" s="37" t="s">
        <v>2</v>
      </c>
      <c r="G757" s="37" t="s">
        <v>90</v>
      </c>
      <c r="H757" s="37" t="s">
        <v>2</v>
      </c>
      <c r="I757" s="37" t="s">
        <v>287</v>
      </c>
      <c r="J757" s="39" t="s">
        <v>59</v>
      </c>
      <c r="K757" s="6"/>
    </row>
    <row r="758" spans="1:11" s="26" customFormat="1" ht="31.2" x14ac:dyDescent="0.25">
      <c r="A758" s="104"/>
      <c r="B758" s="40" t="s">
        <v>289</v>
      </c>
      <c r="C758" s="2">
        <v>925</v>
      </c>
      <c r="D758" s="39" t="s">
        <v>8</v>
      </c>
      <c r="E758" s="39" t="s">
        <v>2</v>
      </c>
      <c r="F758" s="39" t="s">
        <v>2</v>
      </c>
      <c r="G758" s="2">
        <v>1</v>
      </c>
      <c r="H758" s="39" t="s">
        <v>2</v>
      </c>
      <c r="I758" s="39" t="s">
        <v>288</v>
      </c>
      <c r="J758" s="39"/>
      <c r="K758" s="6">
        <f>SUM(K759)</f>
        <v>0</v>
      </c>
    </row>
    <row r="759" spans="1:11" s="26" customFormat="1" ht="31.2" x14ac:dyDescent="0.25">
      <c r="A759" s="104"/>
      <c r="B759" s="43" t="s">
        <v>121</v>
      </c>
      <c r="C759" s="2">
        <v>925</v>
      </c>
      <c r="D759" s="39" t="s">
        <v>8</v>
      </c>
      <c r="E759" s="39" t="s">
        <v>2</v>
      </c>
      <c r="F759" s="39" t="s">
        <v>2</v>
      </c>
      <c r="G759" s="2">
        <v>1</v>
      </c>
      <c r="H759" s="39" t="s">
        <v>2</v>
      </c>
      <c r="I759" s="39" t="s">
        <v>288</v>
      </c>
      <c r="J759" s="39" t="s">
        <v>59</v>
      </c>
      <c r="K759" s="6"/>
    </row>
    <row r="760" spans="1:11" s="26" customFormat="1" ht="93.6" x14ac:dyDescent="0.25">
      <c r="A760" s="104"/>
      <c r="B760" s="1" t="s">
        <v>266</v>
      </c>
      <c r="C760" s="2">
        <v>925</v>
      </c>
      <c r="D760" s="39" t="s">
        <v>8</v>
      </c>
      <c r="E760" s="39" t="s">
        <v>2</v>
      </c>
      <c r="F760" s="39" t="s">
        <v>2</v>
      </c>
      <c r="G760" s="2">
        <v>1</v>
      </c>
      <c r="H760" s="39" t="s">
        <v>2</v>
      </c>
      <c r="I760" s="39" t="s">
        <v>267</v>
      </c>
      <c r="J760" s="39"/>
      <c r="K760" s="6">
        <f>K761</f>
        <v>-3.979039320256561E-13</v>
      </c>
    </row>
    <row r="761" spans="1:11" s="26" customFormat="1" ht="31.2" x14ac:dyDescent="0.25">
      <c r="A761" s="104"/>
      <c r="B761" s="43" t="s">
        <v>121</v>
      </c>
      <c r="C761" s="2">
        <v>925</v>
      </c>
      <c r="D761" s="39" t="s">
        <v>8</v>
      </c>
      <c r="E761" s="39" t="s">
        <v>2</v>
      </c>
      <c r="F761" s="39" t="s">
        <v>2</v>
      </c>
      <c r="G761" s="2">
        <v>1</v>
      </c>
      <c r="H761" s="39" t="s">
        <v>2</v>
      </c>
      <c r="I761" s="39" t="s">
        <v>267</v>
      </c>
      <c r="J761" s="39" t="s">
        <v>59</v>
      </c>
      <c r="K761" s="6">
        <f>14283-13788.6-323.1-171.3</f>
        <v>-3.979039320256561E-13</v>
      </c>
    </row>
    <row r="762" spans="1:11" s="26" customFormat="1" ht="47.25" customHeight="1" x14ac:dyDescent="0.25">
      <c r="A762" s="104"/>
      <c r="B762" s="3" t="s">
        <v>108</v>
      </c>
      <c r="C762" s="2">
        <v>925</v>
      </c>
      <c r="D762" s="39" t="s">
        <v>8</v>
      </c>
      <c r="E762" s="39" t="s">
        <v>2</v>
      </c>
      <c r="F762" s="39" t="s">
        <v>2</v>
      </c>
      <c r="G762" s="2">
        <v>1</v>
      </c>
      <c r="H762" s="39" t="s">
        <v>4</v>
      </c>
      <c r="I762" s="39"/>
      <c r="J762" s="39"/>
      <c r="K762" s="6">
        <f>SUM(K767+K763+K765)</f>
        <v>954325.29999999993</v>
      </c>
    </row>
    <row r="763" spans="1:11" s="26" customFormat="1" ht="46.8" x14ac:dyDescent="0.25">
      <c r="A763" s="104"/>
      <c r="B763" s="3" t="s">
        <v>109</v>
      </c>
      <c r="C763" s="2">
        <v>925</v>
      </c>
      <c r="D763" s="39" t="s">
        <v>8</v>
      </c>
      <c r="E763" s="39" t="s">
        <v>2</v>
      </c>
      <c r="F763" s="39" t="s">
        <v>2</v>
      </c>
      <c r="G763" s="2">
        <v>1</v>
      </c>
      <c r="H763" s="39" t="s">
        <v>4</v>
      </c>
      <c r="I763" s="39" t="s">
        <v>85</v>
      </c>
      <c r="J763" s="39"/>
      <c r="K763" s="6">
        <f>SUM(K764)</f>
        <v>308748.5</v>
      </c>
    </row>
    <row r="764" spans="1:11" s="26" customFormat="1" ht="31.2" x14ac:dyDescent="0.25">
      <c r="A764" s="104"/>
      <c r="B764" s="43" t="s">
        <v>121</v>
      </c>
      <c r="C764" s="2">
        <v>925</v>
      </c>
      <c r="D764" s="39" t="s">
        <v>8</v>
      </c>
      <c r="E764" s="39" t="s">
        <v>2</v>
      </c>
      <c r="F764" s="39" t="s">
        <v>2</v>
      </c>
      <c r="G764" s="2">
        <v>1</v>
      </c>
      <c r="H764" s="39" t="s">
        <v>4</v>
      </c>
      <c r="I764" s="39" t="s">
        <v>85</v>
      </c>
      <c r="J764" s="39" t="s">
        <v>59</v>
      </c>
      <c r="K764" s="6">
        <f>305823.9+1012.1+1012+1075.7+260-435.2</f>
        <v>308748.5</v>
      </c>
    </row>
    <row r="765" spans="1:11" s="26" customFormat="1" ht="31.2" x14ac:dyDescent="0.25">
      <c r="A765" s="104"/>
      <c r="B765" s="1" t="s">
        <v>215</v>
      </c>
      <c r="C765" s="2">
        <v>925</v>
      </c>
      <c r="D765" s="39" t="s">
        <v>8</v>
      </c>
      <c r="E765" s="39" t="s">
        <v>2</v>
      </c>
      <c r="F765" s="37" t="s">
        <v>2</v>
      </c>
      <c r="G765" s="37" t="s">
        <v>90</v>
      </c>
      <c r="H765" s="37" t="s">
        <v>4</v>
      </c>
      <c r="I765" s="37" t="s">
        <v>198</v>
      </c>
      <c r="J765" s="39"/>
      <c r="K765" s="6">
        <f>K766</f>
        <v>2222</v>
      </c>
    </row>
    <row r="766" spans="1:11" s="26" customFormat="1" ht="31.2" x14ac:dyDescent="0.25">
      <c r="A766" s="104"/>
      <c r="B766" s="43" t="s">
        <v>121</v>
      </c>
      <c r="C766" s="2">
        <v>925</v>
      </c>
      <c r="D766" s="39" t="s">
        <v>8</v>
      </c>
      <c r="E766" s="39" t="s">
        <v>2</v>
      </c>
      <c r="F766" s="37" t="s">
        <v>2</v>
      </c>
      <c r="G766" s="37" t="s">
        <v>90</v>
      </c>
      <c r="H766" s="37" t="s">
        <v>4</v>
      </c>
      <c r="I766" s="37" t="s">
        <v>198</v>
      </c>
      <c r="J766" s="39" t="s">
        <v>59</v>
      </c>
      <c r="K766" s="6">
        <f>1111+733.9+377.1</f>
        <v>2222</v>
      </c>
    </row>
    <row r="767" spans="1:11" s="26" customFormat="1" ht="62.4" x14ac:dyDescent="0.25">
      <c r="A767" s="104"/>
      <c r="B767" s="3" t="s">
        <v>202</v>
      </c>
      <c r="C767" s="2">
        <v>925</v>
      </c>
      <c r="D767" s="39" t="s">
        <v>8</v>
      </c>
      <c r="E767" s="39" t="s">
        <v>2</v>
      </c>
      <c r="F767" s="39" t="s">
        <v>2</v>
      </c>
      <c r="G767" s="2">
        <v>1</v>
      </c>
      <c r="H767" s="39" t="s">
        <v>4</v>
      </c>
      <c r="I767" s="39" t="s">
        <v>110</v>
      </c>
      <c r="J767" s="39"/>
      <c r="K767" s="6">
        <f>SUM(K768)</f>
        <v>643354.79999999993</v>
      </c>
    </row>
    <row r="768" spans="1:11" s="26" customFormat="1" ht="31.2" x14ac:dyDescent="0.25">
      <c r="A768" s="104"/>
      <c r="B768" s="3" t="s">
        <v>121</v>
      </c>
      <c r="C768" s="2">
        <v>925</v>
      </c>
      <c r="D768" s="39" t="s">
        <v>8</v>
      </c>
      <c r="E768" s="39" t="s">
        <v>2</v>
      </c>
      <c r="F768" s="39" t="s">
        <v>2</v>
      </c>
      <c r="G768" s="2">
        <v>1</v>
      </c>
      <c r="H768" s="39" t="s">
        <v>4</v>
      </c>
      <c r="I768" s="39" t="s">
        <v>110</v>
      </c>
      <c r="J768" s="39" t="s">
        <v>59</v>
      </c>
      <c r="K768" s="6">
        <f>584902.5+11295.2+8928.1+335+16010.8+1060.7+18222.5+2600</f>
        <v>643354.79999999993</v>
      </c>
    </row>
    <row r="769" spans="1:11" s="26" customFormat="1" ht="15.6" customHeight="1" x14ac:dyDescent="0.25">
      <c r="A769" s="104"/>
      <c r="B769" s="1" t="s">
        <v>112</v>
      </c>
      <c r="C769" s="2">
        <v>925</v>
      </c>
      <c r="D769" s="39" t="s">
        <v>8</v>
      </c>
      <c r="E769" s="39" t="s">
        <v>2</v>
      </c>
      <c r="F769" s="37" t="s">
        <v>2</v>
      </c>
      <c r="G769" s="37" t="s">
        <v>90</v>
      </c>
      <c r="H769" s="37" t="s">
        <v>6</v>
      </c>
      <c r="I769" s="37"/>
      <c r="J769" s="39"/>
      <c r="K769" s="6">
        <f>SUM(K772+K770)</f>
        <v>0</v>
      </c>
    </row>
    <row r="770" spans="1:11" s="26" customFormat="1" ht="78" x14ac:dyDescent="0.25">
      <c r="A770" s="104"/>
      <c r="B770" s="1" t="s">
        <v>271</v>
      </c>
      <c r="C770" s="2">
        <v>925</v>
      </c>
      <c r="D770" s="39" t="s">
        <v>8</v>
      </c>
      <c r="E770" s="39" t="s">
        <v>2</v>
      </c>
      <c r="F770" s="37" t="s">
        <v>2</v>
      </c>
      <c r="G770" s="37" t="s">
        <v>90</v>
      </c>
      <c r="H770" s="37" t="s">
        <v>6</v>
      </c>
      <c r="I770" s="37" t="s">
        <v>209</v>
      </c>
      <c r="J770" s="39"/>
      <c r="K770" s="6">
        <f>K771</f>
        <v>0</v>
      </c>
    </row>
    <row r="771" spans="1:11" s="26" customFormat="1" ht="33.75" customHeight="1" x14ac:dyDescent="0.25">
      <c r="A771" s="104"/>
      <c r="B771" s="3" t="s">
        <v>121</v>
      </c>
      <c r="C771" s="2">
        <v>925</v>
      </c>
      <c r="D771" s="39" t="s">
        <v>8</v>
      </c>
      <c r="E771" s="39" t="s">
        <v>2</v>
      </c>
      <c r="F771" s="37" t="s">
        <v>2</v>
      </c>
      <c r="G771" s="37" t="s">
        <v>90</v>
      </c>
      <c r="H771" s="37" t="s">
        <v>6</v>
      </c>
      <c r="I771" s="37" t="s">
        <v>209</v>
      </c>
      <c r="J771" s="39" t="s">
        <v>59</v>
      </c>
      <c r="K771" s="6"/>
    </row>
    <row r="772" spans="1:11" s="26" customFormat="1" x14ac:dyDescent="0.25">
      <c r="A772" s="104"/>
      <c r="B772" s="1" t="s">
        <v>264</v>
      </c>
      <c r="C772" s="2">
        <v>925</v>
      </c>
      <c r="D772" s="39" t="s">
        <v>8</v>
      </c>
      <c r="E772" s="39" t="s">
        <v>2</v>
      </c>
      <c r="F772" s="37" t="s">
        <v>2</v>
      </c>
      <c r="G772" s="37" t="s">
        <v>90</v>
      </c>
      <c r="H772" s="37" t="s">
        <v>6</v>
      </c>
      <c r="I772" s="37" t="s">
        <v>263</v>
      </c>
      <c r="J772" s="39"/>
      <c r="K772" s="6">
        <f>SUM(K773)</f>
        <v>0</v>
      </c>
    </row>
    <row r="773" spans="1:11" s="26" customFormat="1" ht="31.2" x14ac:dyDescent="0.25">
      <c r="A773" s="104"/>
      <c r="B773" s="43" t="s">
        <v>121</v>
      </c>
      <c r="C773" s="2">
        <v>925</v>
      </c>
      <c r="D773" s="39" t="s">
        <v>8</v>
      </c>
      <c r="E773" s="39" t="s">
        <v>2</v>
      </c>
      <c r="F773" s="37" t="s">
        <v>2</v>
      </c>
      <c r="G773" s="37" t="s">
        <v>90</v>
      </c>
      <c r="H773" s="37" t="s">
        <v>6</v>
      </c>
      <c r="I773" s="37" t="s">
        <v>263</v>
      </c>
      <c r="J773" s="39" t="s">
        <v>59</v>
      </c>
      <c r="K773" s="6">
        <f>200-200</f>
        <v>0</v>
      </c>
    </row>
    <row r="774" spans="1:11" s="26" customFormat="1" ht="62.4" x14ac:dyDescent="0.25">
      <c r="A774" s="104"/>
      <c r="B774" s="40" t="s">
        <v>106</v>
      </c>
      <c r="C774" s="2">
        <v>925</v>
      </c>
      <c r="D774" s="39" t="s">
        <v>8</v>
      </c>
      <c r="E774" s="39" t="s">
        <v>2</v>
      </c>
      <c r="F774" s="39" t="s">
        <v>2</v>
      </c>
      <c r="G774" s="2">
        <v>1</v>
      </c>
      <c r="H774" s="39" t="s">
        <v>30</v>
      </c>
      <c r="I774" s="39"/>
      <c r="J774" s="39"/>
      <c r="K774" s="6">
        <f t="shared" ref="K774:K775" si="38">SUM(K775)</f>
        <v>551.09999999999991</v>
      </c>
    </row>
    <row r="775" spans="1:11" s="26" customFormat="1" ht="93.6" x14ac:dyDescent="0.25">
      <c r="A775" s="104"/>
      <c r="B775" s="57" t="s">
        <v>199</v>
      </c>
      <c r="C775" s="2">
        <v>925</v>
      </c>
      <c r="D775" s="39" t="s">
        <v>8</v>
      </c>
      <c r="E775" s="39" t="s">
        <v>2</v>
      </c>
      <c r="F775" s="39" t="s">
        <v>2</v>
      </c>
      <c r="G775" s="2">
        <v>1</v>
      </c>
      <c r="H775" s="39" t="s">
        <v>30</v>
      </c>
      <c r="I775" s="39" t="s">
        <v>107</v>
      </c>
      <c r="J775" s="39"/>
      <c r="K775" s="6">
        <f t="shared" si="38"/>
        <v>551.09999999999991</v>
      </c>
    </row>
    <row r="776" spans="1:11" s="26" customFormat="1" ht="31.2" x14ac:dyDescent="0.25">
      <c r="A776" s="104"/>
      <c r="B776" s="3" t="s">
        <v>121</v>
      </c>
      <c r="C776" s="2">
        <v>925</v>
      </c>
      <c r="D776" s="39" t="s">
        <v>8</v>
      </c>
      <c r="E776" s="39" t="s">
        <v>2</v>
      </c>
      <c r="F776" s="39" t="s">
        <v>2</v>
      </c>
      <c r="G776" s="2">
        <v>1</v>
      </c>
      <c r="H776" s="39" t="s">
        <v>30</v>
      </c>
      <c r="I776" s="39" t="s">
        <v>107</v>
      </c>
      <c r="J776" s="39" t="s">
        <v>59</v>
      </c>
      <c r="K776" s="6">
        <f>546.3+4.8</f>
        <v>551.09999999999991</v>
      </c>
    </row>
    <row r="777" spans="1:11" s="26" customFormat="1" ht="18.75" customHeight="1" x14ac:dyDescent="0.25">
      <c r="A777" s="104"/>
      <c r="B777" s="40" t="s">
        <v>383</v>
      </c>
      <c r="C777" s="2">
        <v>925</v>
      </c>
      <c r="D777" s="39" t="s">
        <v>8</v>
      </c>
      <c r="E777" s="39" t="s">
        <v>2</v>
      </c>
      <c r="F777" s="37" t="s">
        <v>30</v>
      </c>
      <c r="G777" s="37"/>
      <c r="H777" s="37"/>
      <c r="I777" s="37"/>
      <c r="J777" s="37"/>
      <c r="K777" s="6">
        <f>K778</f>
        <v>0</v>
      </c>
    </row>
    <row r="778" spans="1:11" s="26" customFormat="1" ht="31.2" x14ac:dyDescent="0.25">
      <c r="A778" s="104"/>
      <c r="B778" s="58" t="s">
        <v>384</v>
      </c>
      <c r="C778" s="2">
        <v>925</v>
      </c>
      <c r="D778" s="39" t="s">
        <v>8</v>
      </c>
      <c r="E778" s="39" t="s">
        <v>2</v>
      </c>
      <c r="F778" s="37" t="s">
        <v>30</v>
      </c>
      <c r="G778" s="37" t="s">
        <v>90</v>
      </c>
      <c r="H778" s="37"/>
      <c r="I778" s="37"/>
      <c r="J778" s="37"/>
      <c r="K778" s="6">
        <f>K779</f>
        <v>0</v>
      </c>
    </row>
    <row r="779" spans="1:11" s="26" customFormat="1" ht="46.8" x14ac:dyDescent="0.25">
      <c r="A779" s="104"/>
      <c r="B779" s="40" t="s">
        <v>390</v>
      </c>
      <c r="C779" s="2">
        <v>925</v>
      </c>
      <c r="D779" s="39" t="s">
        <v>8</v>
      </c>
      <c r="E779" s="39" t="s">
        <v>2</v>
      </c>
      <c r="F779" s="37" t="s">
        <v>30</v>
      </c>
      <c r="G779" s="37" t="s">
        <v>90</v>
      </c>
      <c r="H779" s="37" t="s">
        <v>2</v>
      </c>
      <c r="I779" s="37"/>
      <c r="J779" s="39"/>
      <c r="K779" s="6">
        <f>K780</f>
        <v>0</v>
      </c>
    </row>
    <row r="780" spans="1:11" s="26" customFormat="1" ht="31.2" x14ac:dyDescent="0.25">
      <c r="A780" s="104"/>
      <c r="B780" s="40" t="s">
        <v>321</v>
      </c>
      <c r="C780" s="2">
        <v>925</v>
      </c>
      <c r="D780" s="39" t="s">
        <v>8</v>
      </c>
      <c r="E780" s="39" t="s">
        <v>2</v>
      </c>
      <c r="F780" s="37" t="s">
        <v>30</v>
      </c>
      <c r="G780" s="37" t="s">
        <v>90</v>
      </c>
      <c r="H780" s="37" t="s">
        <v>2</v>
      </c>
      <c r="I780" s="37" t="s">
        <v>322</v>
      </c>
      <c r="J780" s="39"/>
      <c r="K780" s="6">
        <f>K781</f>
        <v>0</v>
      </c>
    </row>
    <row r="781" spans="1:11" s="26" customFormat="1" ht="31.2" x14ac:dyDescent="0.25">
      <c r="A781" s="104"/>
      <c r="B781" s="43" t="s">
        <v>121</v>
      </c>
      <c r="C781" s="2">
        <v>925</v>
      </c>
      <c r="D781" s="39" t="s">
        <v>8</v>
      </c>
      <c r="E781" s="39" t="s">
        <v>2</v>
      </c>
      <c r="F781" s="37" t="s">
        <v>30</v>
      </c>
      <c r="G781" s="37" t="s">
        <v>90</v>
      </c>
      <c r="H781" s="37" t="s">
        <v>2</v>
      </c>
      <c r="I781" s="37" t="s">
        <v>322</v>
      </c>
      <c r="J781" s="39" t="s">
        <v>59</v>
      </c>
      <c r="K781" s="6"/>
    </row>
    <row r="782" spans="1:11" s="26" customFormat="1" ht="31.2" x14ac:dyDescent="0.25">
      <c r="A782" s="104"/>
      <c r="B782" s="40" t="s">
        <v>145</v>
      </c>
      <c r="C782" s="2">
        <v>925</v>
      </c>
      <c r="D782" s="39" t="s">
        <v>8</v>
      </c>
      <c r="E782" s="39" t="s">
        <v>2</v>
      </c>
      <c r="F782" s="39" t="s">
        <v>40</v>
      </c>
      <c r="G782" s="2"/>
      <c r="H782" s="39"/>
      <c r="I782" s="39"/>
      <c r="J782" s="39"/>
      <c r="K782" s="6">
        <f>SUM(K783+K787)</f>
        <v>42469.2</v>
      </c>
    </row>
    <row r="783" spans="1:11" s="26" customFormat="1" x14ac:dyDescent="0.25">
      <c r="A783" s="104"/>
      <c r="B783" s="40" t="s">
        <v>164</v>
      </c>
      <c r="C783" s="2">
        <v>925</v>
      </c>
      <c r="D783" s="39" t="s">
        <v>8</v>
      </c>
      <c r="E783" s="39" t="s">
        <v>2</v>
      </c>
      <c r="F783" s="39" t="s">
        <v>40</v>
      </c>
      <c r="G783" s="2">
        <v>2</v>
      </c>
      <c r="H783" s="39"/>
      <c r="I783" s="39"/>
      <c r="J783" s="39"/>
      <c r="K783" s="6">
        <f>K784</f>
        <v>215.9</v>
      </c>
    </row>
    <row r="784" spans="1:11" s="26" customFormat="1" ht="31.2" x14ac:dyDescent="0.25">
      <c r="A784" s="104"/>
      <c r="B784" s="40" t="s">
        <v>195</v>
      </c>
      <c r="C784" s="2">
        <v>925</v>
      </c>
      <c r="D784" s="39" t="s">
        <v>8</v>
      </c>
      <c r="E784" s="39" t="s">
        <v>2</v>
      </c>
      <c r="F784" s="39" t="s">
        <v>40</v>
      </c>
      <c r="G784" s="2">
        <v>2</v>
      </c>
      <c r="H784" s="39" t="s">
        <v>4</v>
      </c>
      <c r="I784" s="39"/>
      <c r="J784" s="39"/>
      <c r="K784" s="6">
        <f>K785</f>
        <v>215.9</v>
      </c>
    </row>
    <row r="785" spans="1:11" s="26" customFormat="1" ht="51" customHeight="1" x14ac:dyDescent="0.25">
      <c r="A785" s="104"/>
      <c r="B785" s="40" t="s">
        <v>219</v>
      </c>
      <c r="C785" s="2">
        <v>925</v>
      </c>
      <c r="D785" s="39" t="s">
        <v>8</v>
      </c>
      <c r="E785" s="39" t="s">
        <v>2</v>
      </c>
      <c r="F785" s="39" t="s">
        <v>40</v>
      </c>
      <c r="G785" s="2">
        <v>2</v>
      </c>
      <c r="H785" s="39" t="s">
        <v>4</v>
      </c>
      <c r="I785" s="39" t="s">
        <v>194</v>
      </c>
      <c r="J785" s="39"/>
      <c r="K785" s="6">
        <f>K786</f>
        <v>215.9</v>
      </c>
    </row>
    <row r="786" spans="1:11" s="26" customFormat="1" ht="31.2" x14ac:dyDescent="0.25">
      <c r="A786" s="104"/>
      <c r="B786" s="43" t="s">
        <v>121</v>
      </c>
      <c r="C786" s="2">
        <v>925</v>
      </c>
      <c r="D786" s="39" t="s">
        <v>8</v>
      </c>
      <c r="E786" s="39" t="s">
        <v>2</v>
      </c>
      <c r="F786" s="39" t="s">
        <v>40</v>
      </c>
      <c r="G786" s="2">
        <v>2</v>
      </c>
      <c r="H786" s="39" t="s">
        <v>4</v>
      </c>
      <c r="I786" s="39" t="s">
        <v>194</v>
      </c>
      <c r="J786" s="39" t="s">
        <v>59</v>
      </c>
      <c r="K786" s="6">
        <v>215.9</v>
      </c>
    </row>
    <row r="787" spans="1:11" s="26" customFormat="1" x14ac:dyDescent="0.25">
      <c r="A787" s="104"/>
      <c r="B787" s="1" t="s">
        <v>388</v>
      </c>
      <c r="C787" s="2">
        <v>925</v>
      </c>
      <c r="D787" s="39" t="s">
        <v>8</v>
      </c>
      <c r="E787" s="39" t="s">
        <v>2</v>
      </c>
      <c r="F787" s="37" t="s">
        <v>40</v>
      </c>
      <c r="G787" s="37" t="s">
        <v>139</v>
      </c>
      <c r="H787" s="37"/>
      <c r="I787" s="37"/>
      <c r="J787" s="39"/>
      <c r="K787" s="6">
        <f>SUM(K788)</f>
        <v>42253.299999999996</v>
      </c>
    </row>
    <row r="788" spans="1:11" s="26" customFormat="1" ht="32.25" customHeight="1" x14ac:dyDescent="0.25">
      <c r="A788" s="104"/>
      <c r="B788" s="1" t="s">
        <v>391</v>
      </c>
      <c r="C788" s="2">
        <v>925</v>
      </c>
      <c r="D788" s="39" t="s">
        <v>8</v>
      </c>
      <c r="E788" s="39" t="s">
        <v>2</v>
      </c>
      <c r="F788" s="37" t="s">
        <v>40</v>
      </c>
      <c r="G788" s="37" t="s">
        <v>139</v>
      </c>
      <c r="H788" s="37" t="s">
        <v>2</v>
      </c>
      <c r="I788" s="37"/>
      <c r="J788" s="39"/>
      <c r="K788" s="6">
        <f>SUM(K789)</f>
        <v>42253.299999999996</v>
      </c>
    </row>
    <row r="789" spans="1:11" s="26" customFormat="1" ht="49.5" customHeight="1" x14ac:dyDescent="0.25">
      <c r="A789" s="104"/>
      <c r="B789" s="1" t="s">
        <v>392</v>
      </c>
      <c r="C789" s="2">
        <v>925</v>
      </c>
      <c r="D789" s="39" t="s">
        <v>8</v>
      </c>
      <c r="E789" s="39" t="s">
        <v>2</v>
      </c>
      <c r="F789" s="37" t="s">
        <v>40</v>
      </c>
      <c r="G789" s="37" t="s">
        <v>139</v>
      </c>
      <c r="H789" s="37" t="s">
        <v>2</v>
      </c>
      <c r="I789" s="37" t="s">
        <v>151</v>
      </c>
      <c r="J789" s="39"/>
      <c r="K789" s="6">
        <f>SUM(K790)</f>
        <v>42253.299999999996</v>
      </c>
    </row>
    <row r="790" spans="1:11" s="26" customFormat="1" ht="31.2" x14ac:dyDescent="0.25">
      <c r="A790" s="104"/>
      <c r="B790" s="43" t="s">
        <v>121</v>
      </c>
      <c r="C790" s="2">
        <v>925</v>
      </c>
      <c r="D790" s="39" t="s">
        <v>8</v>
      </c>
      <c r="E790" s="39" t="s">
        <v>2</v>
      </c>
      <c r="F790" s="37" t="s">
        <v>40</v>
      </c>
      <c r="G790" s="37" t="s">
        <v>139</v>
      </c>
      <c r="H790" s="37" t="s">
        <v>2</v>
      </c>
      <c r="I790" s="37" t="s">
        <v>151</v>
      </c>
      <c r="J790" s="39" t="s">
        <v>59</v>
      </c>
      <c r="K790" s="6">
        <f>13924.8+41580.6+990-13910.8-331.2-0.1</f>
        <v>42253.299999999996</v>
      </c>
    </row>
    <row r="791" spans="1:11" s="26" customFormat="1" x14ac:dyDescent="0.25">
      <c r="A791" s="104"/>
      <c r="B791" s="1" t="s">
        <v>26</v>
      </c>
      <c r="C791" s="2">
        <v>925</v>
      </c>
      <c r="D791" s="39" t="s">
        <v>8</v>
      </c>
      <c r="E791" s="39" t="s">
        <v>4</v>
      </c>
      <c r="F791" s="39"/>
      <c r="G791" s="2"/>
      <c r="H791" s="39"/>
      <c r="I791" s="39"/>
      <c r="J791" s="39"/>
      <c r="K791" s="6">
        <f>SUM(K792+K854+K849)</f>
        <v>1747132.2000000002</v>
      </c>
    </row>
    <row r="792" spans="1:11" s="26" customFormat="1" x14ac:dyDescent="0.25">
      <c r="A792" s="104"/>
      <c r="B792" s="1" t="s">
        <v>385</v>
      </c>
      <c r="C792" s="2">
        <v>925</v>
      </c>
      <c r="D792" s="39" t="s">
        <v>8</v>
      </c>
      <c r="E792" s="39" t="s">
        <v>4</v>
      </c>
      <c r="F792" s="39" t="s">
        <v>2</v>
      </c>
      <c r="G792" s="2"/>
      <c r="H792" s="39"/>
      <c r="I792" s="39"/>
      <c r="J792" s="39"/>
      <c r="K792" s="6">
        <f>SUM(K793)</f>
        <v>1697504.3000000003</v>
      </c>
    </row>
    <row r="793" spans="1:11" s="26" customFormat="1" ht="16.5" customHeight="1" x14ac:dyDescent="0.25">
      <c r="A793" s="104"/>
      <c r="B793" s="40" t="s">
        <v>386</v>
      </c>
      <c r="C793" s="2">
        <v>925</v>
      </c>
      <c r="D793" s="39" t="s">
        <v>8</v>
      </c>
      <c r="E793" s="39" t="s">
        <v>4</v>
      </c>
      <c r="F793" s="39" t="s">
        <v>2</v>
      </c>
      <c r="G793" s="2">
        <v>1</v>
      </c>
      <c r="H793" s="39"/>
      <c r="I793" s="39"/>
      <c r="J793" s="39"/>
      <c r="K793" s="6">
        <f>SUM(K838+K803+K812+K833+K794+K841+M794+K844)</f>
        <v>1697504.3000000003</v>
      </c>
    </row>
    <row r="794" spans="1:11" s="26" customFormat="1" ht="62.4" x14ac:dyDescent="0.25">
      <c r="A794" s="104"/>
      <c r="B794" s="40" t="s">
        <v>389</v>
      </c>
      <c r="C794" s="2">
        <v>925</v>
      </c>
      <c r="D794" s="39" t="s">
        <v>8</v>
      </c>
      <c r="E794" s="39" t="s">
        <v>4</v>
      </c>
      <c r="F794" s="37" t="s">
        <v>2</v>
      </c>
      <c r="G794" s="37" t="s">
        <v>90</v>
      </c>
      <c r="H794" s="37" t="s">
        <v>2</v>
      </c>
      <c r="I794" s="37"/>
      <c r="J794" s="39"/>
      <c r="K794" s="6">
        <f>K801+K799+K797+K795</f>
        <v>23701.4</v>
      </c>
    </row>
    <row r="795" spans="1:11" s="26" customFormat="1" ht="31.2" x14ac:dyDescent="0.25">
      <c r="A795" s="104"/>
      <c r="B795" s="40" t="s">
        <v>575</v>
      </c>
      <c r="C795" s="2">
        <v>925</v>
      </c>
      <c r="D795" s="39" t="s">
        <v>8</v>
      </c>
      <c r="E795" s="39" t="s">
        <v>4</v>
      </c>
      <c r="F795" s="37" t="s">
        <v>2</v>
      </c>
      <c r="G795" s="37" t="s">
        <v>90</v>
      </c>
      <c r="H795" s="37" t="s">
        <v>2</v>
      </c>
      <c r="I795" s="37" t="s">
        <v>503</v>
      </c>
      <c r="J795" s="39"/>
      <c r="K795" s="6">
        <f>K796</f>
        <v>20566</v>
      </c>
    </row>
    <row r="796" spans="1:11" s="26" customFormat="1" ht="31.2" x14ac:dyDescent="0.25">
      <c r="A796" s="104"/>
      <c r="B796" s="43" t="s">
        <v>121</v>
      </c>
      <c r="C796" s="2">
        <v>925</v>
      </c>
      <c r="D796" s="39" t="s">
        <v>8</v>
      </c>
      <c r="E796" s="39" t="s">
        <v>4</v>
      </c>
      <c r="F796" s="37" t="s">
        <v>2</v>
      </c>
      <c r="G796" s="37" t="s">
        <v>90</v>
      </c>
      <c r="H796" s="37" t="s">
        <v>2</v>
      </c>
      <c r="I796" s="37" t="s">
        <v>503</v>
      </c>
      <c r="J796" s="39" t="s">
        <v>59</v>
      </c>
      <c r="K796" s="6">
        <f>235.5+364.2+12406.3+358.5+4027.7+3173.8+(9556.1-9556.1)</f>
        <v>20566</v>
      </c>
    </row>
    <row r="797" spans="1:11" s="26" customFormat="1" ht="31.2" x14ac:dyDescent="0.25">
      <c r="A797" s="104"/>
      <c r="B797" s="40" t="s">
        <v>286</v>
      </c>
      <c r="C797" s="2">
        <v>925</v>
      </c>
      <c r="D797" s="39" t="s">
        <v>8</v>
      </c>
      <c r="E797" s="39" t="s">
        <v>4</v>
      </c>
      <c r="F797" s="37" t="s">
        <v>2</v>
      </c>
      <c r="G797" s="37" t="s">
        <v>90</v>
      </c>
      <c r="H797" s="37" t="s">
        <v>2</v>
      </c>
      <c r="I797" s="37" t="s">
        <v>287</v>
      </c>
      <c r="J797" s="39"/>
      <c r="K797" s="6">
        <f>K798</f>
        <v>2435.4</v>
      </c>
    </row>
    <row r="798" spans="1:11" s="26" customFormat="1" ht="31.2" x14ac:dyDescent="0.25">
      <c r="A798" s="104"/>
      <c r="B798" s="43" t="s">
        <v>121</v>
      </c>
      <c r="C798" s="2">
        <v>925</v>
      </c>
      <c r="D798" s="39" t="s">
        <v>8</v>
      </c>
      <c r="E798" s="39" t="s">
        <v>4</v>
      </c>
      <c r="F798" s="37" t="s">
        <v>2</v>
      </c>
      <c r="G798" s="37" t="s">
        <v>90</v>
      </c>
      <c r="H798" s="37" t="s">
        <v>2</v>
      </c>
      <c r="I798" s="37" t="s">
        <v>287</v>
      </c>
      <c r="J798" s="39" t="s">
        <v>59</v>
      </c>
      <c r="K798" s="6">
        <f>435.4+2000</f>
        <v>2435.4</v>
      </c>
    </row>
    <row r="799" spans="1:11" s="26" customFormat="1" ht="31.2" x14ac:dyDescent="0.25">
      <c r="A799" s="104"/>
      <c r="B799" s="40" t="s">
        <v>289</v>
      </c>
      <c r="C799" s="2">
        <v>925</v>
      </c>
      <c r="D799" s="39" t="s">
        <v>8</v>
      </c>
      <c r="E799" s="39" t="s">
        <v>4</v>
      </c>
      <c r="F799" s="39" t="s">
        <v>2</v>
      </c>
      <c r="G799" s="2">
        <v>1</v>
      </c>
      <c r="H799" s="39" t="s">
        <v>2</v>
      </c>
      <c r="I799" s="39" t="s">
        <v>288</v>
      </c>
      <c r="J799" s="39"/>
      <c r="K799" s="6">
        <f>SUM(K800)</f>
        <v>700</v>
      </c>
    </row>
    <row r="800" spans="1:11" s="26" customFormat="1" ht="31.2" x14ac:dyDescent="0.25">
      <c r="A800" s="104"/>
      <c r="B800" s="43" t="s">
        <v>121</v>
      </c>
      <c r="C800" s="2">
        <v>925</v>
      </c>
      <c r="D800" s="39" t="s">
        <v>8</v>
      </c>
      <c r="E800" s="39" t="s">
        <v>4</v>
      </c>
      <c r="F800" s="39" t="s">
        <v>2</v>
      </c>
      <c r="G800" s="2">
        <v>1</v>
      </c>
      <c r="H800" s="39" t="s">
        <v>2</v>
      </c>
      <c r="I800" s="39" t="s">
        <v>288</v>
      </c>
      <c r="J800" s="39" t="s">
        <v>59</v>
      </c>
      <c r="K800" s="6">
        <f>600+100</f>
        <v>700</v>
      </c>
    </row>
    <row r="801" spans="1:11" s="26" customFormat="1" ht="93.6" x14ac:dyDescent="0.25">
      <c r="A801" s="104"/>
      <c r="B801" s="1" t="s">
        <v>307</v>
      </c>
      <c r="C801" s="2">
        <v>925</v>
      </c>
      <c r="D801" s="39" t="s">
        <v>8</v>
      </c>
      <c r="E801" s="39" t="s">
        <v>4</v>
      </c>
      <c r="F801" s="37" t="s">
        <v>2</v>
      </c>
      <c r="G801" s="37" t="s">
        <v>90</v>
      </c>
      <c r="H801" s="37" t="s">
        <v>2</v>
      </c>
      <c r="I801" s="37" t="s">
        <v>262</v>
      </c>
      <c r="J801" s="37"/>
      <c r="K801" s="6">
        <f>K802</f>
        <v>0</v>
      </c>
    </row>
    <row r="802" spans="1:11" s="26" customFormat="1" ht="31.2" x14ac:dyDescent="0.25">
      <c r="A802" s="104"/>
      <c r="B802" s="43" t="s">
        <v>121</v>
      </c>
      <c r="C802" s="2">
        <v>925</v>
      </c>
      <c r="D802" s="39" t="s">
        <v>8</v>
      </c>
      <c r="E802" s="39" t="s">
        <v>4</v>
      </c>
      <c r="F802" s="37" t="s">
        <v>2</v>
      </c>
      <c r="G802" s="37" t="s">
        <v>90</v>
      </c>
      <c r="H802" s="37" t="s">
        <v>2</v>
      </c>
      <c r="I802" s="37" t="s">
        <v>262</v>
      </c>
      <c r="J802" s="37" t="s">
        <v>59</v>
      </c>
      <c r="K802" s="6"/>
    </row>
    <row r="803" spans="1:11" s="26" customFormat="1" ht="52.5" customHeight="1" x14ac:dyDescent="0.25">
      <c r="A803" s="104"/>
      <c r="B803" s="40" t="s">
        <v>108</v>
      </c>
      <c r="C803" s="2">
        <v>925</v>
      </c>
      <c r="D803" s="39" t="s">
        <v>8</v>
      </c>
      <c r="E803" s="39" t="s">
        <v>4</v>
      </c>
      <c r="F803" s="39" t="s">
        <v>2</v>
      </c>
      <c r="G803" s="2">
        <v>1</v>
      </c>
      <c r="H803" s="39" t="s">
        <v>4</v>
      </c>
      <c r="I803" s="39"/>
      <c r="J803" s="39"/>
      <c r="K803" s="6">
        <f>SUM(K804+K806+K809+K810)</f>
        <v>1370979.2000000002</v>
      </c>
    </row>
    <row r="804" spans="1:11" s="26" customFormat="1" ht="46.8" x14ac:dyDescent="0.25">
      <c r="A804" s="104"/>
      <c r="B804" s="3" t="s">
        <v>109</v>
      </c>
      <c r="C804" s="2">
        <v>925</v>
      </c>
      <c r="D804" s="39" t="s">
        <v>8</v>
      </c>
      <c r="E804" s="39" t="s">
        <v>4</v>
      </c>
      <c r="F804" s="39" t="s">
        <v>2</v>
      </c>
      <c r="G804" s="2">
        <v>1</v>
      </c>
      <c r="H804" s="39" t="s">
        <v>4</v>
      </c>
      <c r="I804" s="39" t="s">
        <v>85</v>
      </c>
      <c r="J804" s="39"/>
      <c r="K804" s="6">
        <f>SUM(K805:K805)</f>
        <v>222433.7</v>
      </c>
    </row>
    <row r="805" spans="1:11" s="26" customFormat="1" ht="31.2" x14ac:dyDescent="0.25">
      <c r="A805" s="104"/>
      <c r="B805" s="43" t="s">
        <v>121</v>
      </c>
      <c r="C805" s="2">
        <v>925</v>
      </c>
      <c r="D805" s="39" t="s">
        <v>8</v>
      </c>
      <c r="E805" s="39" t="s">
        <v>4</v>
      </c>
      <c r="F805" s="39" t="s">
        <v>2</v>
      </c>
      <c r="G805" s="2">
        <v>1</v>
      </c>
      <c r="H805" s="39" t="s">
        <v>4</v>
      </c>
      <c r="I805" s="39" t="s">
        <v>85</v>
      </c>
      <c r="J805" s="39" t="s">
        <v>59</v>
      </c>
      <c r="K805" s="6">
        <f>219673.9-100-147.9-190.9+4172.7+525.9-1500</f>
        <v>222433.7</v>
      </c>
    </row>
    <row r="806" spans="1:11" s="26" customFormat="1" ht="31.2" x14ac:dyDescent="0.25">
      <c r="A806" s="104"/>
      <c r="B806" s="1" t="s">
        <v>215</v>
      </c>
      <c r="C806" s="2">
        <v>925</v>
      </c>
      <c r="D806" s="39" t="s">
        <v>8</v>
      </c>
      <c r="E806" s="39" t="s">
        <v>4</v>
      </c>
      <c r="F806" s="37" t="s">
        <v>2</v>
      </c>
      <c r="G806" s="37" t="s">
        <v>90</v>
      </c>
      <c r="H806" s="39" t="s">
        <v>4</v>
      </c>
      <c r="I806" s="37" t="s">
        <v>198</v>
      </c>
      <c r="J806" s="39"/>
      <c r="K806" s="6">
        <f>K807</f>
        <v>1154.2</v>
      </c>
    </row>
    <row r="807" spans="1:11" s="26" customFormat="1" ht="31.2" x14ac:dyDescent="0.25">
      <c r="A807" s="104"/>
      <c r="B807" s="43" t="s">
        <v>121</v>
      </c>
      <c r="C807" s="2">
        <v>925</v>
      </c>
      <c r="D807" s="39" t="s">
        <v>8</v>
      </c>
      <c r="E807" s="39" t="s">
        <v>4</v>
      </c>
      <c r="F807" s="37" t="s">
        <v>2</v>
      </c>
      <c r="G807" s="37" t="s">
        <v>90</v>
      </c>
      <c r="H807" s="39" t="s">
        <v>4</v>
      </c>
      <c r="I807" s="37" t="s">
        <v>198</v>
      </c>
      <c r="J807" s="39" t="s">
        <v>59</v>
      </c>
      <c r="K807" s="6">
        <f>577.1+350+227.1</f>
        <v>1154.2</v>
      </c>
    </row>
    <row r="808" spans="1:11" s="26" customFormat="1" ht="140.4" customHeight="1" x14ac:dyDescent="0.25">
      <c r="A808" s="104"/>
      <c r="B808" s="3" t="s">
        <v>313</v>
      </c>
      <c r="C808" s="2">
        <v>925</v>
      </c>
      <c r="D808" s="39" t="s">
        <v>8</v>
      </c>
      <c r="E808" s="39" t="s">
        <v>4</v>
      </c>
      <c r="F808" s="37" t="s">
        <v>2</v>
      </c>
      <c r="G808" s="37" t="s">
        <v>90</v>
      </c>
      <c r="H808" s="39" t="s">
        <v>4</v>
      </c>
      <c r="I808" s="39" t="s">
        <v>280</v>
      </c>
      <c r="J808" s="39"/>
      <c r="K808" s="6">
        <f>K809</f>
        <v>0</v>
      </c>
    </row>
    <row r="809" spans="1:11" s="26" customFormat="1" ht="31.2" x14ac:dyDescent="0.25">
      <c r="A809" s="104"/>
      <c r="B809" s="43" t="s">
        <v>121</v>
      </c>
      <c r="C809" s="2">
        <v>925</v>
      </c>
      <c r="D809" s="39" t="s">
        <v>8</v>
      </c>
      <c r="E809" s="39" t="s">
        <v>4</v>
      </c>
      <c r="F809" s="37" t="s">
        <v>2</v>
      </c>
      <c r="G809" s="37" t="s">
        <v>90</v>
      </c>
      <c r="H809" s="39" t="s">
        <v>4</v>
      </c>
      <c r="I809" s="39" t="s">
        <v>280</v>
      </c>
      <c r="J809" s="39" t="s">
        <v>59</v>
      </c>
      <c r="K809" s="6">
        <f>50465.5+50996.8-101462.3</f>
        <v>0</v>
      </c>
    </row>
    <row r="810" spans="1:11" s="26" customFormat="1" ht="62.4" x14ac:dyDescent="0.25">
      <c r="A810" s="104"/>
      <c r="B810" s="3" t="s">
        <v>202</v>
      </c>
      <c r="C810" s="2">
        <v>925</v>
      </c>
      <c r="D810" s="39" t="s">
        <v>8</v>
      </c>
      <c r="E810" s="39" t="s">
        <v>4</v>
      </c>
      <c r="F810" s="39" t="s">
        <v>2</v>
      </c>
      <c r="G810" s="2">
        <v>1</v>
      </c>
      <c r="H810" s="39" t="s">
        <v>4</v>
      </c>
      <c r="I810" s="39" t="s">
        <v>110</v>
      </c>
      <c r="J810" s="39"/>
      <c r="K810" s="6">
        <f>SUM(K811:K811)</f>
        <v>1147391.3</v>
      </c>
    </row>
    <row r="811" spans="1:11" s="26" customFormat="1" ht="31.2" x14ac:dyDescent="0.25">
      <c r="A811" s="104"/>
      <c r="B811" s="3" t="s">
        <v>121</v>
      </c>
      <c r="C811" s="2">
        <v>925</v>
      </c>
      <c r="D811" s="39" t="s">
        <v>8</v>
      </c>
      <c r="E811" s="39" t="s">
        <v>4</v>
      </c>
      <c r="F811" s="39" t="s">
        <v>2</v>
      </c>
      <c r="G811" s="2">
        <v>1</v>
      </c>
      <c r="H811" s="39" t="s">
        <v>4</v>
      </c>
      <c r="I811" s="39" t="s">
        <v>110</v>
      </c>
      <c r="J811" s="39" t="s">
        <v>59</v>
      </c>
      <c r="K811" s="6">
        <f>1057940.8-5622.5-8017.7+86463.3+18479.7-(1852.3)</f>
        <v>1147391.3</v>
      </c>
    </row>
    <row r="812" spans="1:11" s="26" customFormat="1" ht="18.600000000000001" customHeight="1" x14ac:dyDescent="0.25">
      <c r="A812" s="104"/>
      <c r="B812" s="1" t="s">
        <v>112</v>
      </c>
      <c r="C812" s="2">
        <v>925</v>
      </c>
      <c r="D812" s="39" t="s">
        <v>8</v>
      </c>
      <c r="E812" s="39" t="s">
        <v>4</v>
      </c>
      <c r="F812" s="39" t="s">
        <v>2</v>
      </c>
      <c r="G812" s="2">
        <v>1</v>
      </c>
      <c r="H812" s="37" t="s">
        <v>6</v>
      </c>
      <c r="I812" s="39"/>
      <c r="J812" s="39"/>
      <c r="K812" s="6">
        <f>SUM(K813+K815+K823+K817+K827+K819+K825+K831+L802+K829+K821)</f>
        <v>188272.7</v>
      </c>
    </row>
    <row r="813" spans="1:11" s="26" customFormat="1" ht="46.8" x14ac:dyDescent="0.25">
      <c r="A813" s="104"/>
      <c r="B813" s="1" t="s">
        <v>506</v>
      </c>
      <c r="C813" s="2">
        <v>925</v>
      </c>
      <c r="D813" s="39" t="s">
        <v>8</v>
      </c>
      <c r="E813" s="39" t="s">
        <v>4</v>
      </c>
      <c r="F813" s="37" t="s">
        <v>2</v>
      </c>
      <c r="G813" s="37" t="s">
        <v>90</v>
      </c>
      <c r="H813" s="37" t="s">
        <v>6</v>
      </c>
      <c r="I813" s="37" t="s">
        <v>505</v>
      </c>
      <c r="J813" s="39"/>
      <c r="K813" s="6">
        <f>K814</f>
        <v>34323</v>
      </c>
    </row>
    <row r="814" spans="1:11" s="26" customFormat="1" ht="31.2" x14ac:dyDescent="0.25">
      <c r="A814" s="104"/>
      <c r="B814" s="1" t="s">
        <v>121</v>
      </c>
      <c r="C814" s="2">
        <v>925</v>
      </c>
      <c r="D814" s="39" t="s">
        <v>8</v>
      </c>
      <c r="E814" s="39" t="s">
        <v>4</v>
      </c>
      <c r="F814" s="37" t="s">
        <v>2</v>
      </c>
      <c r="G814" s="37" t="s">
        <v>90</v>
      </c>
      <c r="H814" s="37" t="s">
        <v>6</v>
      </c>
      <c r="I814" s="37" t="s">
        <v>505</v>
      </c>
      <c r="J814" s="39" t="s">
        <v>59</v>
      </c>
      <c r="K814" s="6">
        <f>17161.5+17161.5-7855.7+7855.7</f>
        <v>34323</v>
      </c>
    </row>
    <row r="815" spans="1:11" s="26" customFormat="1" ht="31.2" x14ac:dyDescent="0.25">
      <c r="A815" s="104"/>
      <c r="B815" s="54" t="s">
        <v>141</v>
      </c>
      <c r="C815" s="2">
        <v>925</v>
      </c>
      <c r="D815" s="39" t="s">
        <v>8</v>
      </c>
      <c r="E815" s="39" t="s">
        <v>4</v>
      </c>
      <c r="F815" s="39" t="s">
        <v>2</v>
      </c>
      <c r="G815" s="2">
        <v>1</v>
      </c>
      <c r="H815" s="37" t="s">
        <v>6</v>
      </c>
      <c r="I815" s="39" t="s">
        <v>113</v>
      </c>
      <c r="J815" s="39"/>
      <c r="K815" s="6">
        <f>SUM(K816)</f>
        <v>2795.5</v>
      </c>
    </row>
    <row r="816" spans="1:11" s="26" customFormat="1" ht="31.2" x14ac:dyDescent="0.25">
      <c r="A816" s="104"/>
      <c r="B816" s="3" t="s">
        <v>121</v>
      </c>
      <c r="C816" s="2">
        <v>925</v>
      </c>
      <c r="D816" s="39" t="s">
        <v>8</v>
      </c>
      <c r="E816" s="39" t="s">
        <v>4</v>
      </c>
      <c r="F816" s="39" t="s">
        <v>2</v>
      </c>
      <c r="G816" s="2">
        <v>1</v>
      </c>
      <c r="H816" s="37" t="s">
        <v>6</v>
      </c>
      <c r="I816" s="39" t="s">
        <v>113</v>
      </c>
      <c r="J816" s="39" t="s">
        <v>59</v>
      </c>
      <c r="K816" s="6">
        <f>1878.5+1878.5-2000-961.5+1790.6+209.4</f>
        <v>2795.5</v>
      </c>
    </row>
    <row r="817" spans="1:11" s="26" customFormat="1" ht="78" x14ac:dyDescent="0.25">
      <c r="A817" s="104"/>
      <c r="B817" s="1" t="s">
        <v>271</v>
      </c>
      <c r="C817" s="2">
        <v>925</v>
      </c>
      <c r="D817" s="39" t="s">
        <v>8</v>
      </c>
      <c r="E817" s="39" t="s">
        <v>4</v>
      </c>
      <c r="F817" s="37" t="s">
        <v>2</v>
      </c>
      <c r="G817" s="37" t="s">
        <v>90</v>
      </c>
      <c r="H817" s="37" t="s">
        <v>6</v>
      </c>
      <c r="I817" s="37" t="s">
        <v>209</v>
      </c>
      <c r="J817" s="39"/>
      <c r="K817" s="6">
        <f>K818</f>
        <v>1011</v>
      </c>
    </row>
    <row r="818" spans="1:11" s="26" customFormat="1" ht="31.2" customHeight="1" x14ac:dyDescent="0.25">
      <c r="A818" s="104"/>
      <c r="B818" s="3" t="s">
        <v>121</v>
      </c>
      <c r="C818" s="2">
        <v>925</v>
      </c>
      <c r="D818" s="39" t="s">
        <v>8</v>
      </c>
      <c r="E818" s="39" t="s">
        <v>4</v>
      </c>
      <c r="F818" s="37" t="s">
        <v>2</v>
      </c>
      <c r="G818" s="37" t="s">
        <v>90</v>
      </c>
      <c r="H818" s="37" t="s">
        <v>6</v>
      </c>
      <c r="I818" s="37" t="s">
        <v>209</v>
      </c>
      <c r="J818" s="39" t="s">
        <v>59</v>
      </c>
      <c r="K818" s="6">
        <f>338.6+672.4</f>
        <v>1011</v>
      </c>
    </row>
    <row r="819" spans="1:11" s="26" customFormat="1" x14ac:dyDescent="0.25">
      <c r="A819" s="104"/>
      <c r="B819" s="1" t="s">
        <v>264</v>
      </c>
      <c r="C819" s="2">
        <v>925</v>
      </c>
      <c r="D819" s="39" t="s">
        <v>8</v>
      </c>
      <c r="E819" s="39" t="s">
        <v>4</v>
      </c>
      <c r="F819" s="37" t="s">
        <v>2</v>
      </c>
      <c r="G819" s="37" t="s">
        <v>90</v>
      </c>
      <c r="H819" s="37" t="s">
        <v>6</v>
      </c>
      <c r="I819" s="37" t="s">
        <v>263</v>
      </c>
      <c r="J819" s="39"/>
      <c r="K819" s="6">
        <f>K820</f>
        <v>2413</v>
      </c>
    </row>
    <row r="820" spans="1:11" s="26" customFormat="1" ht="36.75" customHeight="1" x14ac:dyDescent="0.25">
      <c r="A820" s="104"/>
      <c r="B820" s="3" t="s">
        <v>121</v>
      </c>
      <c r="C820" s="2">
        <v>925</v>
      </c>
      <c r="D820" s="39" t="s">
        <v>8</v>
      </c>
      <c r="E820" s="39" t="s">
        <v>4</v>
      </c>
      <c r="F820" s="37" t="s">
        <v>2</v>
      </c>
      <c r="G820" s="37" t="s">
        <v>90</v>
      </c>
      <c r="H820" s="37" t="s">
        <v>6</v>
      </c>
      <c r="I820" s="37" t="s">
        <v>263</v>
      </c>
      <c r="J820" s="39" t="s">
        <v>59</v>
      </c>
      <c r="K820" s="6">
        <f>725.7+725.8+961.5</f>
        <v>2413</v>
      </c>
    </row>
    <row r="821" spans="1:11" s="26" customFormat="1" ht="36.75" customHeight="1" x14ac:dyDescent="0.25">
      <c r="A821" s="104"/>
      <c r="B821" s="1" t="s">
        <v>577</v>
      </c>
      <c r="C821" s="2">
        <v>925</v>
      </c>
      <c r="D821" s="39" t="s">
        <v>8</v>
      </c>
      <c r="E821" s="39" t="s">
        <v>4</v>
      </c>
      <c r="F821" s="37" t="s">
        <v>2</v>
      </c>
      <c r="G821" s="37" t="s">
        <v>90</v>
      </c>
      <c r="H821" s="37" t="s">
        <v>6</v>
      </c>
      <c r="I821" s="37" t="s">
        <v>576</v>
      </c>
      <c r="J821" s="39"/>
      <c r="K821" s="6">
        <f>K822</f>
        <v>13.5</v>
      </c>
    </row>
    <row r="822" spans="1:11" s="26" customFormat="1" ht="36.75" customHeight="1" x14ac:dyDescent="0.25">
      <c r="A822" s="104"/>
      <c r="B822" s="43" t="s">
        <v>121</v>
      </c>
      <c r="C822" s="2">
        <v>925</v>
      </c>
      <c r="D822" s="39" t="s">
        <v>8</v>
      </c>
      <c r="E822" s="39" t="s">
        <v>4</v>
      </c>
      <c r="F822" s="37" t="s">
        <v>2</v>
      </c>
      <c r="G822" s="37" t="s">
        <v>90</v>
      </c>
      <c r="H822" s="37" t="s">
        <v>6</v>
      </c>
      <c r="I822" s="37" t="s">
        <v>576</v>
      </c>
      <c r="J822" s="39" t="s">
        <v>59</v>
      </c>
      <c r="K822" s="6">
        <v>13.5</v>
      </c>
    </row>
    <row r="823" spans="1:11" s="26" customFormat="1" ht="124.8" x14ac:dyDescent="0.25">
      <c r="A823" s="104"/>
      <c r="B823" s="40" t="s">
        <v>308</v>
      </c>
      <c r="C823" s="2">
        <v>925</v>
      </c>
      <c r="D823" s="39" t="s">
        <v>8</v>
      </c>
      <c r="E823" s="39" t="s">
        <v>4</v>
      </c>
      <c r="F823" s="39" t="s">
        <v>2</v>
      </c>
      <c r="G823" s="2">
        <v>1</v>
      </c>
      <c r="H823" s="37" t="s">
        <v>6</v>
      </c>
      <c r="I823" s="39" t="s">
        <v>114</v>
      </c>
      <c r="J823" s="39"/>
      <c r="K823" s="6">
        <f>SUM(K824)</f>
        <v>36581.300000000003</v>
      </c>
    </row>
    <row r="824" spans="1:11" s="26" customFormat="1" ht="31.2" x14ac:dyDescent="0.25">
      <c r="A824" s="104"/>
      <c r="B824" s="3" t="s">
        <v>121</v>
      </c>
      <c r="C824" s="2">
        <v>925</v>
      </c>
      <c r="D824" s="39" t="s">
        <v>8</v>
      </c>
      <c r="E824" s="39" t="s">
        <v>4</v>
      </c>
      <c r="F824" s="39" t="s">
        <v>2</v>
      </c>
      <c r="G824" s="2">
        <v>1</v>
      </c>
      <c r="H824" s="37" t="s">
        <v>6</v>
      </c>
      <c r="I824" s="39" t="s">
        <v>114</v>
      </c>
      <c r="J824" s="39" t="s">
        <v>59</v>
      </c>
      <c r="K824" s="6">
        <v>36581.300000000003</v>
      </c>
    </row>
    <row r="825" spans="1:11" s="26" customFormat="1" ht="78" x14ac:dyDescent="0.25">
      <c r="A825" s="104"/>
      <c r="B825" s="1" t="s">
        <v>433</v>
      </c>
      <c r="C825" s="2">
        <v>925</v>
      </c>
      <c r="D825" s="39" t="s">
        <v>8</v>
      </c>
      <c r="E825" s="39" t="s">
        <v>4</v>
      </c>
      <c r="F825" s="37" t="s">
        <v>2</v>
      </c>
      <c r="G825" s="37" t="s">
        <v>90</v>
      </c>
      <c r="H825" s="37" t="s">
        <v>6</v>
      </c>
      <c r="I825" s="37" t="s">
        <v>243</v>
      </c>
      <c r="J825" s="39"/>
      <c r="K825" s="6">
        <f>SUM(K826)</f>
        <v>2074.3000000000002</v>
      </c>
    </row>
    <row r="826" spans="1:11" s="26" customFormat="1" ht="31.5" customHeight="1" x14ac:dyDescent="0.25">
      <c r="A826" s="104"/>
      <c r="B826" s="1" t="s">
        <v>121</v>
      </c>
      <c r="C826" s="2">
        <v>925</v>
      </c>
      <c r="D826" s="39" t="s">
        <v>8</v>
      </c>
      <c r="E826" s="39" t="s">
        <v>4</v>
      </c>
      <c r="F826" s="37" t="s">
        <v>2</v>
      </c>
      <c r="G826" s="37" t="s">
        <v>90</v>
      </c>
      <c r="H826" s="37" t="s">
        <v>6</v>
      </c>
      <c r="I826" s="37" t="s">
        <v>243</v>
      </c>
      <c r="J826" s="39" t="s">
        <v>59</v>
      </c>
      <c r="K826" s="6">
        <v>2074.3000000000002</v>
      </c>
    </row>
    <row r="827" spans="1:11" s="26" customFormat="1" ht="46.8" x14ac:dyDescent="0.25">
      <c r="A827" s="104"/>
      <c r="B827" s="1" t="s">
        <v>434</v>
      </c>
      <c r="C827" s="2">
        <v>925</v>
      </c>
      <c r="D827" s="39" t="s">
        <v>8</v>
      </c>
      <c r="E827" s="39" t="s">
        <v>4</v>
      </c>
      <c r="F827" s="37" t="s">
        <v>2</v>
      </c>
      <c r="G827" s="37" t="s">
        <v>90</v>
      </c>
      <c r="H827" s="37" t="s">
        <v>6</v>
      </c>
      <c r="I827" s="37" t="s">
        <v>220</v>
      </c>
      <c r="J827" s="39"/>
      <c r="K827" s="6">
        <f>K828</f>
        <v>0</v>
      </c>
    </row>
    <row r="828" spans="1:11" s="26" customFormat="1" ht="37.5" customHeight="1" x14ac:dyDescent="0.25">
      <c r="A828" s="104"/>
      <c r="B828" s="1" t="s">
        <v>121</v>
      </c>
      <c r="C828" s="2">
        <v>925</v>
      </c>
      <c r="D828" s="39" t="s">
        <v>8</v>
      </c>
      <c r="E828" s="39" t="s">
        <v>4</v>
      </c>
      <c r="F828" s="37" t="s">
        <v>2</v>
      </c>
      <c r="G828" s="37" t="s">
        <v>90</v>
      </c>
      <c r="H828" s="37" t="s">
        <v>6</v>
      </c>
      <c r="I828" s="37" t="s">
        <v>220</v>
      </c>
      <c r="J828" s="39" t="s">
        <v>59</v>
      </c>
      <c r="K828" s="6">
        <f>86909.5+5547.5-86909.5-5547.5</f>
        <v>0</v>
      </c>
    </row>
    <row r="829" spans="1:11" s="26" customFormat="1" ht="84" customHeight="1" x14ac:dyDescent="0.25">
      <c r="A829" s="104"/>
      <c r="B829" s="1" t="s">
        <v>541</v>
      </c>
      <c r="C829" s="2">
        <v>925</v>
      </c>
      <c r="D829" s="39" t="s">
        <v>8</v>
      </c>
      <c r="E829" s="39" t="s">
        <v>4</v>
      </c>
      <c r="F829" s="37" t="s">
        <v>2</v>
      </c>
      <c r="G829" s="37" t="s">
        <v>90</v>
      </c>
      <c r="H829" s="37" t="s">
        <v>6</v>
      </c>
      <c r="I829" s="37" t="s">
        <v>542</v>
      </c>
      <c r="J829" s="39"/>
      <c r="K829" s="6">
        <f>K830</f>
        <v>92457</v>
      </c>
    </row>
    <row r="830" spans="1:11" s="26" customFormat="1" ht="37.5" customHeight="1" x14ac:dyDescent="0.25">
      <c r="A830" s="104"/>
      <c r="B830" s="1" t="s">
        <v>121</v>
      </c>
      <c r="C830" s="2">
        <v>925</v>
      </c>
      <c r="D830" s="39" t="s">
        <v>8</v>
      </c>
      <c r="E830" s="39" t="s">
        <v>4</v>
      </c>
      <c r="F830" s="37" t="s">
        <v>2</v>
      </c>
      <c r="G830" s="37" t="s">
        <v>90</v>
      </c>
      <c r="H830" s="37" t="s">
        <v>6</v>
      </c>
      <c r="I830" s="37" t="s">
        <v>542</v>
      </c>
      <c r="J830" s="39" t="s">
        <v>59</v>
      </c>
      <c r="K830" s="6">
        <v>92457</v>
      </c>
    </row>
    <row r="831" spans="1:11" s="26" customFormat="1" ht="46.8" x14ac:dyDescent="0.25">
      <c r="A831" s="104"/>
      <c r="B831" s="1" t="s">
        <v>315</v>
      </c>
      <c r="C831" s="2">
        <v>925</v>
      </c>
      <c r="D831" s="39" t="s">
        <v>8</v>
      </c>
      <c r="E831" s="39" t="s">
        <v>4</v>
      </c>
      <c r="F831" s="39" t="s">
        <v>2</v>
      </c>
      <c r="G831" s="2">
        <v>1</v>
      </c>
      <c r="H831" s="37" t="s">
        <v>6</v>
      </c>
      <c r="I831" s="37" t="s">
        <v>242</v>
      </c>
      <c r="J831" s="39"/>
      <c r="K831" s="6">
        <f>SUM(K832)</f>
        <v>16604.099999999999</v>
      </c>
    </row>
    <row r="832" spans="1:11" s="26" customFormat="1" ht="36.75" customHeight="1" x14ac:dyDescent="0.25">
      <c r="A832" s="104"/>
      <c r="B832" s="1" t="s">
        <v>121</v>
      </c>
      <c r="C832" s="2">
        <v>925</v>
      </c>
      <c r="D832" s="39" t="s">
        <v>8</v>
      </c>
      <c r="E832" s="39" t="s">
        <v>4</v>
      </c>
      <c r="F832" s="39" t="s">
        <v>2</v>
      </c>
      <c r="G832" s="2">
        <v>1</v>
      </c>
      <c r="H832" s="37" t="s">
        <v>6</v>
      </c>
      <c r="I832" s="37" t="s">
        <v>242</v>
      </c>
      <c r="J832" s="39" t="s">
        <v>59</v>
      </c>
      <c r="K832" s="6">
        <f>8966.2+7637.9</f>
        <v>16604.099999999999</v>
      </c>
    </row>
    <row r="833" spans="1:11" s="26" customFormat="1" ht="31.2" x14ac:dyDescent="0.25">
      <c r="A833" s="104"/>
      <c r="B833" s="1" t="s">
        <v>531</v>
      </c>
      <c r="C833" s="2">
        <v>925</v>
      </c>
      <c r="D833" s="39" t="s">
        <v>8</v>
      </c>
      <c r="E833" s="39" t="s">
        <v>4</v>
      </c>
      <c r="F833" s="39" t="s">
        <v>2</v>
      </c>
      <c r="G833" s="2">
        <v>1</v>
      </c>
      <c r="H833" s="39" t="s">
        <v>7</v>
      </c>
      <c r="I833" s="39"/>
      <c r="J833" s="39"/>
      <c r="K833" s="6">
        <f>K834</f>
        <v>5556.6</v>
      </c>
    </row>
    <row r="834" spans="1:11" s="26" customFormat="1" ht="132" customHeight="1" x14ac:dyDescent="0.25">
      <c r="A834" s="104"/>
      <c r="B834" s="1" t="s">
        <v>200</v>
      </c>
      <c r="C834" s="2">
        <v>925</v>
      </c>
      <c r="D834" s="39" t="s">
        <v>8</v>
      </c>
      <c r="E834" s="39" t="s">
        <v>4</v>
      </c>
      <c r="F834" s="39" t="s">
        <v>2</v>
      </c>
      <c r="G834" s="2">
        <v>1</v>
      </c>
      <c r="H834" s="39" t="s">
        <v>7</v>
      </c>
      <c r="I834" s="39" t="s">
        <v>138</v>
      </c>
      <c r="J834" s="39"/>
      <c r="K834" s="6">
        <f t="shared" ref="K834" si="39">SUM(K835:K837)</f>
        <v>5556.6</v>
      </c>
    </row>
    <row r="835" spans="1:11" s="26" customFormat="1" ht="31.2" x14ac:dyDescent="0.25">
      <c r="A835" s="104"/>
      <c r="B835" s="1" t="s">
        <v>123</v>
      </c>
      <c r="C835" s="2">
        <v>925</v>
      </c>
      <c r="D835" s="39" t="s">
        <v>8</v>
      </c>
      <c r="E835" s="39" t="s">
        <v>4</v>
      </c>
      <c r="F835" s="39" t="s">
        <v>2</v>
      </c>
      <c r="G835" s="2">
        <v>1</v>
      </c>
      <c r="H835" s="39" t="s">
        <v>7</v>
      </c>
      <c r="I835" s="39" t="s">
        <v>138</v>
      </c>
      <c r="J835" s="39" t="s">
        <v>49</v>
      </c>
      <c r="K835" s="6"/>
    </row>
    <row r="836" spans="1:11" s="26" customFormat="1" x14ac:dyDescent="0.25">
      <c r="A836" s="104"/>
      <c r="B836" s="1" t="s">
        <v>55</v>
      </c>
      <c r="C836" s="2">
        <v>925</v>
      </c>
      <c r="D836" s="39" t="s">
        <v>8</v>
      </c>
      <c r="E836" s="39" t="s">
        <v>4</v>
      </c>
      <c r="F836" s="39" t="s">
        <v>2</v>
      </c>
      <c r="G836" s="2">
        <v>1</v>
      </c>
      <c r="H836" s="39" t="s">
        <v>7</v>
      </c>
      <c r="I836" s="39" t="s">
        <v>138</v>
      </c>
      <c r="J836" s="39" t="s">
        <v>56</v>
      </c>
      <c r="K836" s="6">
        <f>3385.4-194.5+452.4-236.3</f>
        <v>3407</v>
      </c>
    </row>
    <row r="837" spans="1:11" s="26" customFormat="1" ht="31.2" x14ac:dyDescent="0.25">
      <c r="A837" s="104"/>
      <c r="B837" s="43" t="s">
        <v>121</v>
      </c>
      <c r="C837" s="2">
        <v>925</v>
      </c>
      <c r="D837" s="39" t="s">
        <v>8</v>
      </c>
      <c r="E837" s="39" t="s">
        <v>4</v>
      </c>
      <c r="F837" s="39" t="s">
        <v>2</v>
      </c>
      <c r="G837" s="2">
        <v>1</v>
      </c>
      <c r="H837" s="39" t="s">
        <v>7</v>
      </c>
      <c r="I837" s="39" t="s">
        <v>138</v>
      </c>
      <c r="J837" s="39" t="s">
        <v>59</v>
      </c>
      <c r="K837" s="6">
        <f>1500-187.7+391+210+236.3</f>
        <v>2149.6</v>
      </c>
    </row>
    <row r="838" spans="1:11" s="26" customFormat="1" ht="62.4" x14ac:dyDescent="0.25">
      <c r="A838" s="104"/>
      <c r="B838" s="40" t="s">
        <v>106</v>
      </c>
      <c r="C838" s="2">
        <v>925</v>
      </c>
      <c r="D838" s="39" t="s">
        <v>8</v>
      </c>
      <c r="E838" s="39" t="s">
        <v>4</v>
      </c>
      <c r="F838" s="39" t="s">
        <v>2</v>
      </c>
      <c r="G838" s="2">
        <v>1</v>
      </c>
      <c r="H838" s="39" t="s">
        <v>30</v>
      </c>
      <c r="I838" s="39"/>
      <c r="J838" s="39"/>
      <c r="K838" s="6">
        <f>SUM(K839)</f>
        <v>1391</v>
      </c>
    </row>
    <row r="839" spans="1:11" s="26" customFormat="1" ht="93.6" x14ac:dyDescent="0.25">
      <c r="A839" s="104"/>
      <c r="B839" s="42" t="s">
        <v>199</v>
      </c>
      <c r="C839" s="2">
        <v>925</v>
      </c>
      <c r="D839" s="39" t="s">
        <v>8</v>
      </c>
      <c r="E839" s="39" t="s">
        <v>4</v>
      </c>
      <c r="F839" s="39" t="s">
        <v>2</v>
      </c>
      <c r="G839" s="2">
        <v>1</v>
      </c>
      <c r="H839" s="39" t="s">
        <v>30</v>
      </c>
      <c r="I839" s="39" t="s">
        <v>107</v>
      </c>
      <c r="J839" s="39"/>
      <c r="K839" s="6">
        <f>SUM(K840:K840)</f>
        <v>1391</v>
      </c>
    </row>
    <row r="840" spans="1:11" s="26" customFormat="1" ht="31.2" x14ac:dyDescent="0.25">
      <c r="A840" s="104"/>
      <c r="B840" s="3" t="s">
        <v>121</v>
      </c>
      <c r="C840" s="2">
        <v>925</v>
      </c>
      <c r="D840" s="39" t="s">
        <v>8</v>
      </c>
      <c r="E840" s="39" t="s">
        <v>4</v>
      </c>
      <c r="F840" s="39" t="s">
        <v>2</v>
      </c>
      <c r="G840" s="2">
        <v>1</v>
      </c>
      <c r="H840" s="39" t="s">
        <v>30</v>
      </c>
      <c r="I840" s="39" t="s">
        <v>107</v>
      </c>
      <c r="J840" s="39" t="s">
        <v>59</v>
      </c>
      <c r="K840" s="6">
        <f>1284.6+106.4</f>
        <v>1391</v>
      </c>
    </row>
    <row r="841" spans="1:11" s="26" customFormat="1" ht="46.8" x14ac:dyDescent="0.25">
      <c r="A841" s="104"/>
      <c r="B841" s="1" t="s">
        <v>497</v>
      </c>
      <c r="C841" s="2">
        <v>925</v>
      </c>
      <c r="D841" s="39" t="s">
        <v>8</v>
      </c>
      <c r="E841" s="39" t="s">
        <v>4</v>
      </c>
      <c r="F841" s="37" t="s">
        <v>229</v>
      </c>
      <c r="G841" s="37" t="s">
        <v>90</v>
      </c>
      <c r="H841" s="37" t="s">
        <v>17</v>
      </c>
      <c r="I841" s="37"/>
      <c r="J841" s="39"/>
      <c r="K841" s="6">
        <f>K842</f>
        <v>518.6</v>
      </c>
    </row>
    <row r="842" spans="1:11" s="26" customFormat="1" ht="46.8" x14ac:dyDescent="0.25">
      <c r="A842" s="104"/>
      <c r="B842" s="1" t="s">
        <v>498</v>
      </c>
      <c r="C842" s="2">
        <v>925</v>
      </c>
      <c r="D842" s="39" t="s">
        <v>8</v>
      </c>
      <c r="E842" s="39" t="s">
        <v>4</v>
      </c>
      <c r="F842" s="37" t="s">
        <v>2</v>
      </c>
      <c r="G842" s="37" t="s">
        <v>90</v>
      </c>
      <c r="H842" s="37" t="s">
        <v>17</v>
      </c>
      <c r="I842" s="37" t="s">
        <v>230</v>
      </c>
      <c r="J842" s="39"/>
      <c r="K842" s="6">
        <f>K843</f>
        <v>518.6</v>
      </c>
    </row>
    <row r="843" spans="1:11" s="26" customFormat="1" x14ac:dyDescent="0.25">
      <c r="A843" s="104"/>
      <c r="B843" s="1" t="s">
        <v>22</v>
      </c>
      <c r="C843" s="2">
        <v>925</v>
      </c>
      <c r="D843" s="39" t="s">
        <v>8</v>
      </c>
      <c r="E843" s="39" t="s">
        <v>4</v>
      </c>
      <c r="F843" s="37" t="s">
        <v>2</v>
      </c>
      <c r="G843" s="37" t="s">
        <v>90</v>
      </c>
      <c r="H843" s="37" t="s">
        <v>17</v>
      </c>
      <c r="I843" s="37" t="s">
        <v>230</v>
      </c>
      <c r="J843" s="39" t="s">
        <v>58</v>
      </c>
      <c r="K843" s="6">
        <v>518.6</v>
      </c>
    </row>
    <row r="844" spans="1:11" s="26" customFormat="1" ht="19.95" customHeight="1" x14ac:dyDescent="0.25">
      <c r="A844" s="104"/>
      <c r="B844" s="1" t="s">
        <v>534</v>
      </c>
      <c r="C844" s="2">
        <v>925</v>
      </c>
      <c r="D844" s="39" t="s">
        <v>8</v>
      </c>
      <c r="E844" s="39" t="s">
        <v>4</v>
      </c>
      <c r="F844" s="37" t="s">
        <v>2</v>
      </c>
      <c r="G844" s="37" t="s">
        <v>90</v>
      </c>
      <c r="H844" s="37" t="s">
        <v>533</v>
      </c>
      <c r="I844" s="37"/>
      <c r="J844" s="39"/>
      <c r="K844" s="6">
        <f>K845+K847</f>
        <v>107084.8</v>
      </c>
    </row>
    <row r="845" spans="1:11" s="26" customFormat="1" ht="56.25" customHeight="1" x14ac:dyDescent="0.25">
      <c r="A845" s="104"/>
      <c r="B845" s="1" t="s">
        <v>281</v>
      </c>
      <c r="C845" s="2">
        <v>925</v>
      </c>
      <c r="D845" s="39" t="s">
        <v>8</v>
      </c>
      <c r="E845" s="39" t="s">
        <v>4</v>
      </c>
      <c r="F845" s="37" t="s">
        <v>2</v>
      </c>
      <c r="G845" s="37" t="s">
        <v>90</v>
      </c>
      <c r="H845" s="37" t="s">
        <v>533</v>
      </c>
      <c r="I845" s="37" t="s">
        <v>282</v>
      </c>
      <c r="J845" s="39"/>
      <c r="K845" s="6">
        <f>K846</f>
        <v>5622.5</v>
      </c>
    </row>
    <row r="846" spans="1:11" s="26" customFormat="1" ht="36" customHeight="1" x14ac:dyDescent="0.25">
      <c r="A846" s="104"/>
      <c r="B846" s="1" t="s">
        <v>121</v>
      </c>
      <c r="C846" s="2">
        <v>925</v>
      </c>
      <c r="D846" s="39" t="s">
        <v>8</v>
      </c>
      <c r="E846" s="39" t="s">
        <v>4</v>
      </c>
      <c r="F846" s="37" t="s">
        <v>2</v>
      </c>
      <c r="G846" s="37" t="s">
        <v>90</v>
      </c>
      <c r="H846" s="37" t="s">
        <v>533</v>
      </c>
      <c r="I846" s="37" t="s">
        <v>282</v>
      </c>
      <c r="J846" s="39" t="s">
        <v>59</v>
      </c>
      <c r="K846" s="6">
        <v>5622.5</v>
      </c>
    </row>
    <row r="847" spans="1:11" s="26" customFormat="1" ht="106.95" customHeight="1" x14ac:dyDescent="0.25">
      <c r="A847" s="104"/>
      <c r="B847" s="1" t="s">
        <v>539</v>
      </c>
      <c r="C847" s="2">
        <v>925</v>
      </c>
      <c r="D847" s="39" t="s">
        <v>8</v>
      </c>
      <c r="E847" s="39" t="s">
        <v>4</v>
      </c>
      <c r="F847" s="37" t="s">
        <v>2</v>
      </c>
      <c r="G847" s="37" t="s">
        <v>90</v>
      </c>
      <c r="H847" s="37" t="s">
        <v>533</v>
      </c>
      <c r="I847" s="37" t="s">
        <v>540</v>
      </c>
      <c r="J847" s="39"/>
      <c r="K847" s="6">
        <f>K848</f>
        <v>101462.3</v>
      </c>
    </row>
    <row r="848" spans="1:11" s="26" customFormat="1" ht="32.25" customHeight="1" x14ac:dyDescent="0.25">
      <c r="A848" s="104"/>
      <c r="B848" s="43" t="s">
        <v>121</v>
      </c>
      <c r="C848" s="2">
        <v>925</v>
      </c>
      <c r="D848" s="39" t="s">
        <v>8</v>
      </c>
      <c r="E848" s="39" t="s">
        <v>4</v>
      </c>
      <c r="F848" s="37" t="s">
        <v>2</v>
      </c>
      <c r="G848" s="37" t="s">
        <v>90</v>
      </c>
      <c r="H848" s="37" t="s">
        <v>533</v>
      </c>
      <c r="I848" s="37" t="s">
        <v>540</v>
      </c>
      <c r="J848" s="39" t="s">
        <v>59</v>
      </c>
      <c r="K848" s="6">
        <v>101462.3</v>
      </c>
    </row>
    <row r="849" spans="1:11" s="26" customFormat="1" ht="20.25" customHeight="1" x14ac:dyDescent="0.25">
      <c r="A849" s="104"/>
      <c r="B849" s="40" t="s">
        <v>383</v>
      </c>
      <c r="C849" s="2">
        <v>925</v>
      </c>
      <c r="D849" s="39" t="s">
        <v>8</v>
      </c>
      <c r="E849" s="39" t="s">
        <v>4</v>
      </c>
      <c r="F849" s="37" t="s">
        <v>30</v>
      </c>
      <c r="G849" s="37"/>
      <c r="H849" s="37"/>
      <c r="I849" s="37"/>
      <c r="J849" s="37"/>
      <c r="K849" s="6">
        <f>K850</f>
        <v>147.9</v>
      </c>
    </row>
    <row r="850" spans="1:11" s="26" customFormat="1" ht="31.2" x14ac:dyDescent="0.25">
      <c r="A850" s="104"/>
      <c r="B850" s="58" t="s">
        <v>384</v>
      </c>
      <c r="C850" s="2">
        <v>925</v>
      </c>
      <c r="D850" s="39" t="s">
        <v>8</v>
      </c>
      <c r="E850" s="39" t="s">
        <v>4</v>
      </c>
      <c r="F850" s="37" t="s">
        <v>30</v>
      </c>
      <c r="G850" s="37" t="s">
        <v>90</v>
      </c>
      <c r="H850" s="37"/>
      <c r="I850" s="37"/>
      <c r="J850" s="37"/>
      <c r="K850" s="6">
        <f>K851</f>
        <v>147.9</v>
      </c>
    </row>
    <row r="851" spans="1:11" s="26" customFormat="1" ht="46.8" x14ac:dyDescent="0.25">
      <c r="A851" s="104"/>
      <c r="B851" s="40" t="s">
        <v>390</v>
      </c>
      <c r="C851" s="2">
        <v>925</v>
      </c>
      <c r="D851" s="39" t="s">
        <v>8</v>
      </c>
      <c r="E851" s="39" t="s">
        <v>4</v>
      </c>
      <c r="F851" s="37" t="s">
        <v>30</v>
      </c>
      <c r="G851" s="37" t="s">
        <v>90</v>
      </c>
      <c r="H851" s="37" t="s">
        <v>2</v>
      </c>
      <c r="I851" s="37"/>
      <c r="J851" s="39"/>
      <c r="K851" s="6">
        <f>K852</f>
        <v>147.9</v>
      </c>
    </row>
    <row r="852" spans="1:11" s="26" customFormat="1" ht="31.2" x14ac:dyDescent="0.25">
      <c r="A852" s="104"/>
      <c r="B852" s="40" t="s">
        <v>321</v>
      </c>
      <c r="C852" s="2">
        <v>925</v>
      </c>
      <c r="D852" s="39" t="s">
        <v>8</v>
      </c>
      <c r="E852" s="39" t="s">
        <v>4</v>
      </c>
      <c r="F852" s="37" t="s">
        <v>30</v>
      </c>
      <c r="G852" s="37" t="s">
        <v>90</v>
      </c>
      <c r="H852" s="37" t="s">
        <v>2</v>
      </c>
      <c r="I852" s="37" t="s">
        <v>322</v>
      </c>
      <c r="J852" s="39"/>
      <c r="K852" s="6">
        <f>K853</f>
        <v>147.9</v>
      </c>
    </row>
    <row r="853" spans="1:11" s="26" customFormat="1" ht="31.2" x14ac:dyDescent="0.25">
      <c r="A853" s="104"/>
      <c r="B853" s="43" t="s">
        <v>121</v>
      </c>
      <c r="C853" s="2">
        <v>925</v>
      </c>
      <c r="D853" s="39" t="s">
        <v>8</v>
      </c>
      <c r="E853" s="39" t="s">
        <v>4</v>
      </c>
      <c r="F853" s="37" t="s">
        <v>30</v>
      </c>
      <c r="G853" s="37" t="s">
        <v>90</v>
      </c>
      <c r="H853" s="37" t="s">
        <v>2</v>
      </c>
      <c r="I853" s="37" t="s">
        <v>322</v>
      </c>
      <c r="J853" s="39" t="s">
        <v>59</v>
      </c>
      <c r="K853" s="6">
        <f>147.9</f>
        <v>147.9</v>
      </c>
    </row>
    <row r="854" spans="1:11" s="26" customFormat="1" ht="31.2" x14ac:dyDescent="0.25">
      <c r="A854" s="104"/>
      <c r="B854" s="40" t="s">
        <v>145</v>
      </c>
      <c r="C854" s="2">
        <v>925</v>
      </c>
      <c r="D854" s="39" t="s">
        <v>8</v>
      </c>
      <c r="E854" s="39" t="s">
        <v>4</v>
      </c>
      <c r="F854" s="37" t="s">
        <v>40</v>
      </c>
      <c r="G854" s="37"/>
      <c r="H854" s="37"/>
      <c r="I854" s="37"/>
      <c r="J854" s="39"/>
      <c r="K854" s="6">
        <f>K855+K859</f>
        <v>49480.000000000015</v>
      </c>
    </row>
    <row r="855" spans="1:11" s="26" customFormat="1" x14ac:dyDescent="0.25">
      <c r="A855" s="104"/>
      <c r="B855" s="40" t="s">
        <v>164</v>
      </c>
      <c r="C855" s="2">
        <v>925</v>
      </c>
      <c r="D855" s="39" t="s">
        <v>8</v>
      </c>
      <c r="E855" s="39" t="s">
        <v>4</v>
      </c>
      <c r="F855" s="39" t="s">
        <v>40</v>
      </c>
      <c r="G855" s="2">
        <v>2</v>
      </c>
      <c r="H855" s="39"/>
      <c r="I855" s="39"/>
      <c r="J855" s="39"/>
      <c r="K855" s="6">
        <f>K856</f>
        <v>96.8</v>
      </c>
    </row>
    <row r="856" spans="1:11" s="26" customFormat="1" ht="31.2" x14ac:dyDescent="0.25">
      <c r="A856" s="104"/>
      <c r="B856" s="40" t="s">
        <v>195</v>
      </c>
      <c r="C856" s="2">
        <v>925</v>
      </c>
      <c r="D856" s="39" t="s">
        <v>8</v>
      </c>
      <c r="E856" s="39" t="s">
        <v>4</v>
      </c>
      <c r="F856" s="39" t="s">
        <v>40</v>
      </c>
      <c r="G856" s="2">
        <v>2</v>
      </c>
      <c r="H856" s="39" t="s">
        <v>4</v>
      </c>
      <c r="I856" s="39"/>
      <c r="J856" s="39"/>
      <c r="K856" s="6">
        <f>K857</f>
        <v>96.8</v>
      </c>
    </row>
    <row r="857" spans="1:11" s="26" customFormat="1" ht="48.75" customHeight="1" x14ac:dyDescent="0.25">
      <c r="A857" s="104"/>
      <c r="B857" s="40" t="s">
        <v>219</v>
      </c>
      <c r="C857" s="2">
        <v>925</v>
      </c>
      <c r="D857" s="39" t="s">
        <v>8</v>
      </c>
      <c r="E857" s="39" t="s">
        <v>4</v>
      </c>
      <c r="F857" s="39" t="s">
        <v>40</v>
      </c>
      <c r="G857" s="2">
        <v>2</v>
      </c>
      <c r="H857" s="39" t="s">
        <v>4</v>
      </c>
      <c r="I857" s="39" t="s">
        <v>194</v>
      </c>
      <c r="J857" s="39"/>
      <c r="K857" s="6">
        <f>K858</f>
        <v>96.8</v>
      </c>
    </row>
    <row r="858" spans="1:11" s="26" customFormat="1" ht="31.2" x14ac:dyDescent="0.25">
      <c r="A858" s="104"/>
      <c r="B858" s="43" t="s">
        <v>121</v>
      </c>
      <c r="C858" s="2">
        <v>925</v>
      </c>
      <c r="D858" s="39" t="s">
        <v>8</v>
      </c>
      <c r="E858" s="39" t="s">
        <v>4</v>
      </c>
      <c r="F858" s="39" t="s">
        <v>40</v>
      </c>
      <c r="G858" s="2">
        <v>2</v>
      </c>
      <c r="H858" s="39" t="s">
        <v>4</v>
      </c>
      <c r="I858" s="39" t="s">
        <v>194</v>
      </c>
      <c r="J858" s="39" t="s">
        <v>59</v>
      </c>
      <c r="K858" s="6">
        <f>96.8</f>
        <v>96.8</v>
      </c>
    </row>
    <row r="859" spans="1:11" s="26" customFormat="1" x14ac:dyDescent="0.25">
      <c r="A859" s="104"/>
      <c r="B859" s="1" t="s">
        <v>388</v>
      </c>
      <c r="C859" s="2">
        <v>925</v>
      </c>
      <c r="D859" s="39" t="s">
        <v>8</v>
      </c>
      <c r="E859" s="39" t="s">
        <v>4</v>
      </c>
      <c r="F859" s="37" t="s">
        <v>40</v>
      </c>
      <c r="G859" s="37" t="s">
        <v>139</v>
      </c>
      <c r="H859" s="37"/>
      <c r="I859" s="37"/>
      <c r="J859" s="39"/>
      <c r="K859" s="6">
        <f>SUM(K860)</f>
        <v>49383.200000000012</v>
      </c>
    </row>
    <row r="860" spans="1:11" s="26" customFormat="1" ht="33.75" customHeight="1" x14ac:dyDescent="0.25">
      <c r="A860" s="104"/>
      <c r="B860" s="1" t="s">
        <v>391</v>
      </c>
      <c r="C860" s="2">
        <v>925</v>
      </c>
      <c r="D860" s="39" t="s">
        <v>8</v>
      </c>
      <c r="E860" s="39" t="s">
        <v>4</v>
      </c>
      <c r="F860" s="37" t="s">
        <v>40</v>
      </c>
      <c r="G860" s="37" t="s">
        <v>139</v>
      </c>
      <c r="H860" s="37" t="s">
        <v>2</v>
      </c>
      <c r="I860" s="37"/>
      <c r="J860" s="39"/>
      <c r="K860" s="6">
        <f>SUM(K861)</f>
        <v>49383.200000000012</v>
      </c>
    </row>
    <row r="861" spans="1:11" s="26" customFormat="1" ht="48.75" customHeight="1" x14ac:dyDescent="0.25">
      <c r="A861" s="104"/>
      <c r="B861" s="1" t="s">
        <v>392</v>
      </c>
      <c r="C861" s="2">
        <v>925</v>
      </c>
      <c r="D861" s="39" t="s">
        <v>8</v>
      </c>
      <c r="E861" s="39" t="s">
        <v>4</v>
      </c>
      <c r="F861" s="37" t="s">
        <v>40</v>
      </c>
      <c r="G861" s="37" t="s">
        <v>139</v>
      </c>
      <c r="H861" s="37" t="s">
        <v>2</v>
      </c>
      <c r="I861" s="37" t="s">
        <v>151</v>
      </c>
      <c r="J861" s="39"/>
      <c r="K861" s="6">
        <f t="shared" ref="K861" si="40">SUM(K862)</f>
        <v>49383.200000000012</v>
      </c>
    </row>
    <row r="862" spans="1:11" s="26" customFormat="1" ht="31.2" x14ac:dyDescent="0.25">
      <c r="A862" s="104"/>
      <c r="B862" s="43" t="s">
        <v>121</v>
      </c>
      <c r="C862" s="2">
        <v>925</v>
      </c>
      <c r="D862" s="39" t="s">
        <v>8</v>
      </c>
      <c r="E862" s="39" t="s">
        <v>4</v>
      </c>
      <c r="F862" s="37" t="s">
        <v>40</v>
      </c>
      <c r="G862" s="37" t="s">
        <v>139</v>
      </c>
      <c r="H862" s="37" t="s">
        <v>2</v>
      </c>
      <c r="I862" s="37" t="s">
        <v>151</v>
      </c>
      <c r="J862" s="39" t="s">
        <v>59</v>
      </c>
      <c r="K862" s="6">
        <f>14402.2+39564.4+3811.5-9178.7-7454.2+592.8+7454.2+190.9+0.1+1373.3-1000-373.3</f>
        <v>49383.200000000012</v>
      </c>
    </row>
    <row r="863" spans="1:11" s="26" customFormat="1" x14ac:dyDescent="0.25">
      <c r="A863" s="104"/>
      <c r="B863" s="1" t="s">
        <v>146</v>
      </c>
      <c r="C863" s="2">
        <v>925</v>
      </c>
      <c r="D863" s="39" t="s">
        <v>8</v>
      </c>
      <c r="E863" s="39" t="s">
        <v>5</v>
      </c>
      <c r="F863" s="37"/>
      <c r="G863" s="37"/>
      <c r="H863" s="37"/>
      <c r="I863" s="37"/>
      <c r="J863" s="39"/>
      <c r="K863" s="6">
        <f>SUM(K864+K881)</f>
        <v>137745.9</v>
      </c>
    </row>
    <row r="864" spans="1:11" s="26" customFormat="1" x14ac:dyDescent="0.25">
      <c r="A864" s="104"/>
      <c r="B864" s="1" t="s">
        <v>385</v>
      </c>
      <c r="C864" s="2">
        <v>925</v>
      </c>
      <c r="D864" s="39" t="s">
        <v>8</v>
      </c>
      <c r="E864" s="39" t="s">
        <v>5</v>
      </c>
      <c r="F864" s="39" t="s">
        <v>2</v>
      </c>
      <c r="G864" s="2"/>
      <c r="H864" s="39"/>
      <c r="I864" s="39"/>
      <c r="J864" s="39"/>
      <c r="K864" s="6">
        <f t="shared" ref="K864:K872" si="41">SUM(K865)</f>
        <v>125565.1</v>
      </c>
    </row>
    <row r="865" spans="1:11" s="26" customFormat="1" ht="18" customHeight="1" x14ac:dyDescent="0.25">
      <c r="A865" s="104"/>
      <c r="B865" s="40" t="s">
        <v>386</v>
      </c>
      <c r="C865" s="2">
        <v>925</v>
      </c>
      <c r="D865" s="39" t="s">
        <v>8</v>
      </c>
      <c r="E865" s="39" t="s">
        <v>5</v>
      </c>
      <c r="F865" s="39" t="s">
        <v>2</v>
      </c>
      <c r="G865" s="2">
        <v>1</v>
      </c>
      <c r="H865" s="39"/>
      <c r="I865" s="39"/>
      <c r="J865" s="39"/>
      <c r="K865" s="6">
        <f>SUM(K866+K871+K874+K877)</f>
        <v>125565.1</v>
      </c>
    </row>
    <row r="866" spans="1:11" s="26" customFormat="1" ht="62.4" x14ac:dyDescent="0.25">
      <c r="A866" s="104"/>
      <c r="B866" s="40" t="s">
        <v>389</v>
      </c>
      <c r="C866" s="2">
        <v>925</v>
      </c>
      <c r="D866" s="39" t="s">
        <v>8</v>
      </c>
      <c r="E866" s="39" t="s">
        <v>5</v>
      </c>
      <c r="F866" s="37" t="s">
        <v>2</v>
      </c>
      <c r="G866" s="37" t="s">
        <v>90</v>
      </c>
      <c r="H866" s="37" t="s">
        <v>2</v>
      </c>
      <c r="I866" s="37"/>
      <c r="J866" s="39"/>
      <c r="K866" s="6">
        <f>SUM(K869+K867)</f>
        <v>4690</v>
      </c>
    </row>
    <row r="867" spans="1:11" s="26" customFormat="1" ht="31.2" x14ac:dyDescent="0.25">
      <c r="A867" s="104"/>
      <c r="B867" s="40" t="s">
        <v>286</v>
      </c>
      <c r="C867" s="2">
        <v>925</v>
      </c>
      <c r="D867" s="39" t="s">
        <v>8</v>
      </c>
      <c r="E867" s="39" t="s">
        <v>5</v>
      </c>
      <c r="F867" s="37" t="s">
        <v>2</v>
      </c>
      <c r="G867" s="37" t="s">
        <v>90</v>
      </c>
      <c r="H867" s="37" t="s">
        <v>2</v>
      </c>
      <c r="I867" s="37" t="s">
        <v>287</v>
      </c>
      <c r="J867" s="39"/>
      <c r="K867" s="6">
        <f>K868</f>
        <v>0</v>
      </c>
    </row>
    <row r="868" spans="1:11" s="26" customFormat="1" ht="31.2" x14ac:dyDescent="0.25">
      <c r="A868" s="104"/>
      <c r="B868" s="43" t="s">
        <v>121</v>
      </c>
      <c r="C868" s="2">
        <v>925</v>
      </c>
      <c r="D868" s="39" t="s">
        <v>8</v>
      </c>
      <c r="E868" s="39" t="s">
        <v>5</v>
      </c>
      <c r="F868" s="37" t="s">
        <v>2</v>
      </c>
      <c r="G868" s="37" t="s">
        <v>90</v>
      </c>
      <c r="H868" s="37" t="s">
        <v>2</v>
      </c>
      <c r="I868" s="37" t="s">
        <v>287</v>
      </c>
      <c r="J868" s="39" t="s">
        <v>59</v>
      </c>
      <c r="K868" s="6"/>
    </row>
    <row r="869" spans="1:11" s="26" customFormat="1" ht="31.2" x14ac:dyDescent="0.25">
      <c r="A869" s="104"/>
      <c r="B869" s="40" t="s">
        <v>289</v>
      </c>
      <c r="C869" s="2">
        <v>925</v>
      </c>
      <c r="D869" s="39" t="s">
        <v>8</v>
      </c>
      <c r="E869" s="39" t="s">
        <v>5</v>
      </c>
      <c r="F869" s="39" t="s">
        <v>2</v>
      </c>
      <c r="G869" s="2">
        <v>1</v>
      </c>
      <c r="H869" s="39" t="s">
        <v>2</v>
      </c>
      <c r="I869" s="39" t="s">
        <v>288</v>
      </c>
      <c r="J869" s="39"/>
      <c r="K869" s="6">
        <f>SUM(K870)</f>
        <v>4690</v>
      </c>
    </row>
    <row r="870" spans="1:11" s="26" customFormat="1" ht="31.2" x14ac:dyDescent="0.25">
      <c r="A870" s="104"/>
      <c r="B870" s="43" t="s">
        <v>121</v>
      </c>
      <c r="C870" s="2">
        <v>925</v>
      </c>
      <c r="D870" s="39" t="s">
        <v>8</v>
      </c>
      <c r="E870" s="39" t="s">
        <v>5</v>
      </c>
      <c r="F870" s="39" t="s">
        <v>2</v>
      </c>
      <c r="G870" s="2">
        <v>1</v>
      </c>
      <c r="H870" s="39" t="s">
        <v>2</v>
      </c>
      <c r="I870" s="39" t="s">
        <v>288</v>
      </c>
      <c r="J870" s="39" t="s">
        <v>59</v>
      </c>
      <c r="K870" s="6">
        <f>4690</f>
        <v>4690</v>
      </c>
    </row>
    <row r="871" spans="1:11" s="26" customFormat="1" ht="48.75" customHeight="1" x14ac:dyDescent="0.25">
      <c r="A871" s="104"/>
      <c r="B871" s="40" t="s">
        <v>108</v>
      </c>
      <c r="C871" s="2">
        <v>925</v>
      </c>
      <c r="D871" s="39" t="s">
        <v>8</v>
      </c>
      <c r="E871" s="39" t="s">
        <v>5</v>
      </c>
      <c r="F871" s="39" t="s">
        <v>2</v>
      </c>
      <c r="G871" s="2">
        <v>1</v>
      </c>
      <c r="H871" s="39" t="s">
        <v>4</v>
      </c>
      <c r="I871" s="39"/>
      <c r="J871" s="39"/>
      <c r="K871" s="6">
        <f>SUM(K872)</f>
        <v>31607.000000000004</v>
      </c>
    </row>
    <row r="872" spans="1:11" s="26" customFormat="1" ht="46.8" x14ac:dyDescent="0.25">
      <c r="A872" s="104"/>
      <c r="B872" s="40" t="s">
        <v>111</v>
      </c>
      <c r="C872" s="2">
        <v>925</v>
      </c>
      <c r="D872" s="39" t="s">
        <v>8</v>
      </c>
      <c r="E872" s="39" t="s">
        <v>5</v>
      </c>
      <c r="F872" s="39" t="s">
        <v>2</v>
      </c>
      <c r="G872" s="2">
        <v>1</v>
      </c>
      <c r="H872" s="39" t="s">
        <v>4</v>
      </c>
      <c r="I872" s="39" t="s">
        <v>85</v>
      </c>
      <c r="J872" s="39"/>
      <c r="K872" s="6">
        <f t="shared" si="41"/>
        <v>31607.000000000004</v>
      </c>
    </row>
    <row r="873" spans="1:11" s="26" customFormat="1" ht="31.2" x14ac:dyDescent="0.25">
      <c r="A873" s="104"/>
      <c r="B873" s="43" t="s">
        <v>121</v>
      </c>
      <c r="C873" s="2">
        <v>925</v>
      </c>
      <c r="D873" s="39" t="s">
        <v>8</v>
      </c>
      <c r="E873" s="39" t="s">
        <v>5</v>
      </c>
      <c r="F873" s="39" t="s">
        <v>2</v>
      </c>
      <c r="G873" s="2">
        <v>1</v>
      </c>
      <c r="H873" s="39" t="s">
        <v>4</v>
      </c>
      <c r="I873" s="39" t="s">
        <v>85</v>
      </c>
      <c r="J873" s="39" t="s">
        <v>59</v>
      </c>
      <c r="K873" s="6">
        <f>30222.9+1738.9-354.8</f>
        <v>31607.000000000004</v>
      </c>
    </row>
    <row r="874" spans="1:11" s="26" customFormat="1" ht="62.4" x14ac:dyDescent="0.25">
      <c r="A874" s="104"/>
      <c r="B874" s="40" t="s">
        <v>106</v>
      </c>
      <c r="C874" s="2">
        <v>925</v>
      </c>
      <c r="D874" s="39" t="s">
        <v>8</v>
      </c>
      <c r="E874" s="39" t="s">
        <v>5</v>
      </c>
      <c r="F874" s="39" t="s">
        <v>2</v>
      </c>
      <c r="G874" s="2">
        <v>1</v>
      </c>
      <c r="H874" s="39" t="s">
        <v>30</v>
      </c>
      <c r="I874" s="39"/>
      <c r="J874" s="39"/>
      <c r="K874" s="6">
        <f>SUM(K875)</f>
        <v>47</v>
      </c>
    </row>
    <row r="875" spans="1:11" s="26" customFormat="1" ht="93.6" x14ac:dyDescent="0.25">
      <c r="A875" s="104"/>
      <c r="B875" s="42" t="s">
        <v>199</v>
      </c>
      <c r="C875" s="2">
        <v>925</v>
      </c>
      <c r="D875" s="39" t="s">
        <v>8</v>
      </c>
      <c r="E875" s="39" t="s">
        <v>5</v>
      </c>
      <c r="F875" s="39" t="s">
        <v>2</v>
      </c>
      <c r="G875" s="2">
        <v>1</v>
      </c>
      <c r="H875" s="39" t="s">
        <v>30</v>
      </c>
      <c r="I875" s="39" t="s">
        <v>107</v>
      </c>
      <c r="J875" s="39"/>
      <c r="K875" s="6">
        <f>SUM(K876:K876)</f>
        <v>47</v>
      </c>
    </row>
    <row r="876" spans="1:11" s="26" customFormat="1" ht="31.2" x14ac:dyDescent="0.25">
      <c r="A876" s="104"/>
      <c r="B876" s="3" t="s">
        <v>121</v>
      </c>
      <c r="C876" s="2">
        <v>925</v>
      </c>
      <c r="D876" s="39" t="s">
        <v>8</v>
      </c>
      <c r="E876" s="39" t="s">
        <v>5</v>
      </c>
      <c r="F876" s="39" t="s">
        <v>2</v>
      </c>
      <c r="G876" s="2">
        <v>1</v>
      </c>
      <c r="H876" s="39" t="s">
        <v>30</v>
      </c>
      <c r="I876" s="39" t="s">
        <v>107</v>
      </c>
      <c r="J876" s="39" t="s">
        <v>59</v>
      </c>
      <c r="K876" s="6">
        <f>30.9+16.1</f>
        <v>47</v>
      </c>
    </row>
    <row r="877" spans="1:11" s="26" customFormat="1" ht="78" x14ac:dyDescent="0.25">
      <c r="A877" s="104"/>
      <c r="B877" s="1" t="s">
        <v>499</v>
      </c>
      <c r="C877" s="2">
        <v>925</v>
      </c>
      <c r="D877" s="39" t="s">
        <v>8</v>
      </c>
      <c r="E877" s="39" t="s">
        <v>5</v>
      </c>
      <c r="F877" s="39" t="s">
        <v>2</v>
      </c>
      <c r="G877" s="2">
        <v>1</v>
      </c>
      <c r="H877" s="39" t="s">
        <v>8</v>
      </c>
      <c r="I877" s="39"/>
      <c r="J877" s="39"/>
      <c r="K877" s="6">
        <f>SUBTOTAL(9,K878)</f>
        <v>89221.1</v>
      </c>
    </row>
    <row r="878" spans="1:11" s="26" customFormat="1" ht="31.2" x14ac:dyDescent="0.25">
      <c r="A878" s="104"/>
      <c r="B878" s="3" t="s">
        <v>245</v>
      </c>
      <c r="C878" s="2">
        <v>925</v>
      </c>
      <c r="D878" s="39" t="s">
        <v>8</v>
      </c>
      <c r="E878" s="39" t="s">
        <v>5</v>
      </c>
      <c r="F878" s="39" t="s">
        <v>2</v>
      </c>
      <c r="G878" s="2">
        <v>1</v>
      </c>
      <c r="H878" s="39" t="s">
        <v>8</v>
      </c>
      <c r="I878" s="39" t="s">
        <v>244</v>
      </c>
      <c r="J878" s="39"/>
      <c r="K878" s="6">
        <f>SUM(K879:K880)</f>
        <v>89221.1</v>
      </c>
    </row>
    <row r="879" spans="1:11" s="26" customFormat="1" ht="31.2" x14ac:dyDescent="0.25">
      <c r="A879" s="104"/>
      <c r="B879" s="43" t="s">
        <v>121</v>
      </c>
      <c r="C879" s="2">
        <v>925</v>
      </c>
      <c r="D879" s="39" t="s">
        <v>8</v>
      </c>
      <c r="E879" s="39" t="s">
        <v>5</v>
      </c>
      <c r="F879" s="39" t="s">
        <v>2</v>
      </c>
      <c r="G879" s="2">
        <v>1</v>
      </c>
      <c r="H879" s="39" t="s">
        <v>8</v>
      </c>
      <c r="I879" s="39" t="s">
        <v>244</v>
      </c>
      <c r="J879" s="39" t="s">
        <v>59</v>
      </c>
      <c r="K879" s="6">
        <f>89221.1-37.2</f>
        <v>89183.900000000009</v>
      </c>
    </row>
    <row r="880" spans="1:11" s="26" customFormat="1" x14ac:dyDescent="0.25">
      <c r="A880" s="104"/>
      <c r="B880" s="3" t="s">
        <v>50</v>
      </c>
      <c r="C880" s="2">
        <v>925</v>
      </c>
      <c r="D880" s="39" t="s">
        <v>8</v>
      </c>
      <c r="E880" s="39" t="s">
        <v>5</v>
      </c>
      <c r="F880" s="39" t="s">
        <v>2</v>
      </c>
      <c r="G880" s="2">
        <v>1</v>
      </c>
      <c r="H880" s="39" t="s">
        <v>8</v>
      </c>
      <c r="I880" s="39" t="s">
        <v>244</v>
      </c>
      <c r="J880" s="39" t="s">
        <v>51</v>
      </c>
      <c r="K880" s="6">
        <v>37.200000000000003</v>
      </c>
    </row>
    <row r="881" spans="1:11" s="26" customFormat="1" ht="31.2" x14ac:dyDescent="0.25">
      <c r="A881" s="104"/>
      <c r="B881" s="3" t="s">
        <v>145</v>
      </c>
      <c r="C881" s="2">
        <v>925</v>
      </c>
      <c r="D881" s="39" t="s">
        <v>8</v>
      </c>
      <c r="E881" s="39" t="s">
        <v>5</v>
      </c>
      <c r="F881" s="39" t="s">
        <v>40</v>
      </c>
      <c r="G881" s="2"/>
      <c r="H881" s="39"/>
      <c r="I881" s="39"/>
      <c r="J881" s="39"/>
      <c r="K881" s="6">
        <f>K882</f>
        <v>12180.8</v>
      </c>
    </row>
    <row r="882" spans="1:11" s="26" customFormat="1" x14ac:dyDescent="0.25">
      <c r="A882" s="104"/>
      <c r="B882" s="1" t="s">
        <v>388</v>
      </c>
      <c r="C882" s="2">
        <v>925</v>
      </c>
      <c r="D882" s="39" t="s">
        <v>8</v>
      </c>
      <c r="E882" s="39" t="s">
        <v>5</v>
      </c>
      <c r="F882" s="39" t="s">
        <v>40</v>
      </c>
      <c r="G882" s="2">
        <v>5</v>
      </c>
      <c r="H882" s="39"/>
      <c r="I882" s="39"/>
      <c r="J882" s="39"/>
      <c r="K882" s="6">
        <f>K883</f>
        <v>12180.8</v>
      </c>
    </row>
    <row r="883" spans="1:11" s="26" customFormat="1" ht="34.5" customHeight="1" x14ac:dyDescent="0.25">
      <c r="A883" s="104"/>
      <c r="B883" s="1" t="s">
        <v>391</v>
      </c>
      <c r="C883" s="2">
        <v>925</v>
      </c>
      <c r="D883" s="39" t="s">
        <v>8</v>
      </c>
      <c r="E883" s="39" t="s">
        <v>5</v>
      </c>
      <c r="F883" s="39" t="s">
        <v>40</v>
      </c>
      <c r="G883" s="2">
        <v>5</v>
      </c>
      <c r="H883" s="39" t="s">
        <v>2</v>
      </c>
      <c r="I883" s="39"/>
      <c r="J883" s="39"/>
      <c r="K883" s="6">
        <f>K884</f>
        <v>12180.8</v>
      </c>
    </row>
    <row r="884" spans="1:11" s="26" customFormat="1" ht="46.5" customHeight="1" x14ac:dyDescent="0.25">
      <c r="A884" s="104"/>
      <c r="B884" s="1" t="s">
        <v>392</v>
      </c>
      <c r="C884" s="2">
        <v>925</v>
      </c>
      <c r="D884" s="39" t="s">
        <v>8</v>
      </c>
      <c r="E884" s="39" t="s">
        <v>5</v>
      </c>
      <c r="F884" s="39" t="s">
        <v>40</v>
      </c>
      <c r="G884" s="2">
        <v>5</v>
      </c>
      <c r="H884" s="39" t="s">
        <v>2</v>
      </c>
      <c r="I884" s="39" t="s">
        <v>151</v>
      </c>
      <c r="J884" s="39"/>
      <c r="K884" s="6">
        <f>K885</f>
        <v>12180.8</v>
      </c>
    </row>
    <row r="885" spans="1:11" s="26" customFormat="1" ht="31.2" x14ac:dyDescent="0.25">
      <c r="A885" s="104"/>
      <c r="B885" s="43" t="s">
        <v>121</v>
      </c>
      <c r="C885" s="2">
        <v>925</v>
      </c>
      <c r="D885" s="39" t="s">
        <v>8</v>
      </c>
      <c r="E885" s="39" t="s">
        <v>5</v>
      </c>
      <c r="F885" s="39" t="s">
        <v>40</v>
      </c>
      <c r="G885" s="2">
        <v>5</v>
      </c>
      <c r="H885" s="39" t="s">
        <v>2</v>
      </c>
      <c r="I885" s="39" t="s">
        <v>151</v>
      </c>
      <c r="J885" s="39" t="s">
        <v>59</v>
      </c>
      <c r="K885" s="6">
        <f>2916+8910+354.8</f>
        <v>12180.8</v>
      </c>
    </row>
    <row r="886" spans="1:11" s="26" customFormat="1" ht="14.25" customHeight="1" x14ac:dyDescent="0.25">
      <c r="A886" s="104"/>
      <c r="B886" s="1" t="s">
        <v>235</v>
      </c>
      <c r="C886" s="2">
        <v>925</v>
      </c>
      <c r="D886" s="39" t="s">
        <v>8</v>
      </c>
      <c r="E886" s="37" t="s">
        <v>7</v>
      </c>
      <c r="F886" s="37"/>
      <c r="G886" s="37"/>
      <c r="H886" s="37"/>
      <c r="I886" s="37"/>
      <c r="J886" s="39"/>
      <c r="K886" s="6">
        <f>SUM(K887)</f>
        <v>21.5</v>
      </c>
    </row>
    <row r="887" spans="1:11" s="26" customFormat="1" x14ac:dyDescent="0.25">
      <c r="A887" s="104"/>
      <c r="B887" s="1" t="s">
        <v>385</v>
      </c>
      <c r="C887" s="2">
        <v>925</v>
      </c>
      <c r="D887" s="37" t="s">
        <v>8</v>
      </c>
      <c r="E887" s="37" t="s">
        <v>7</v>
      </c>
      <c r="F887" s="37" t="s">
        <v>2</v>
      </c>
      <c r="G887" s="37"/>
      <c r="H887" s="37"/>
      <c r="I887" s="37"/>
      <c r="J887" s="39"/>
      <c r="K887" s="6">
        <f>SUM(K888)</f>
        <v>21.5</v>
      </c>
    </row>
    <row r="888" spans="1:11" s="26" customFormat="1" ht="20.25" customHeight="1" x14ac:dyDescent="0.25">
      <c r="A888" s="104"/>
      <c r="B888" s="1" t="s">
        <v>386</v>
      </c>
      <c r="C888" s="2">
        <v>925</v>
      </c>
      <c r="D888" s="37" t="s">
        <v>8</v>
      </c>
      <c r="E888" s="37" t="s">
        <v>7</v>
      </c>
      <c r="F888" s="37" t="s">
        <v>2</v>
      </c>
      <c r="G888" s="37" t="s">
        <v>90</v>
      </c>
      <c r="H888" s="37"/>
      <c r="I888" s="37"/>
      <c r="J888" s="39"/>
      <c r="K888" s="6">
        <f>SUM(K889)</f>
        <v>21.5</v>
      </c>
    </row>
    <row r="889" spans="1:11" s="26" customFormat="1" ht="50.25" customHeight="1" x14ac:dyDescent="0.25">
      <c r="A889" s="104"/>
      <c r="B889" s="40" t="s">
        <v>108</v>
      </c>
      <c r="C889" s="2">
        <v>925</v>
      </c>
      <c r="D889" s="37" t="s">
        <v>8</v>
      </c>
      <c r="E889" s="37" t="s">
        <v>7</v>
      </c>
      <c r="F889" s="37" t="s">
        <v>2</v>
      </c>
      <c r="G889" s="37" t="s">
        <v>90</v>
      </c>
      <c r="H889" s="39" t="s">
        <v>4</v>
      </c>
      <c r="I889" s="37"/>
      <c r="J889" s="39"/>
      <c r="K889" s="6">
        <f>SUM(K890)</f>
        <v>21.5</v>
      </c>
    </row>
    <row r="890" spans="1:11" s="26" customFormat="1" x14ac:dyDescent="0.25">
      <c r="A890" s="104"/>
      <c r="B890" s="1" t="s">
        <v>237</v>
      </c>
      <c r="C890" s="2">
        <v>925</v>
      </c>
      <c r="D890" s="37" t="s">
        <v>8</v>
      </c>
      <c r="E890" s="37" t="s">
        <v>7</v>
      </c>
      <c r="F890" s="37" t="s">
        <v>2</v>
      </c>
      <c r="G890" s="37" t="s">
        <v>90</v>
      </c>
      <c r="H890" s="39" t="s">
        <v>4</v>
      </c>
      <c r="I890" s="37" t="s">
        <v>236</v>
      </c>
      <c r="J890" s="39"/>
      <c r="K890" s="6">
        <f>SUM(K891)</f>
        <v>21.5</v>
      </c>
    </row>
    <row r="891" spans="1:11" s="26" customFormat="1" ht="31.2" x14ac:dyDescent="0.25">
      <c r="A891" s="104"/>
      <c r="B891" s="1" t="s">
        <v>123</v>
      </c>
      <c r="C891" s="2">
        <v>925</v>
      </c>
      <c r="D891" s="37" t="s">
        <v>8</v>
      </c>
      <c r="E891" s="37" t="s">
        <v>7</v>
      </c>
      <c r="F891" s="37" t="s">
        <v>2</v>
      </c>
      <c r="G891" s="37" t="s">
        <v>90</v>
      </c>
      <c r="H891" s="39" t="s">
        <v>4</v>
      </c>
      <c r="I891" s="37" t="s">
        <v>236</v>
      </c>
      <c r="J891" s="39" t="s">
        <v>49</v>
      </c>
      <c r="K891" s="6">
        <v>21.5</v>
      </c>
    </row>
    <row r="892" spans="1:11" s="26" customFormat="1" x14ac:dyDescent="0.25">
      <c r="A892" s="104"/>
      <c r="B892" s="1" t="s">
        <v>27</v>
      </c>
      <c r="C892" s="2">
        <v>925</v>
      </c>
      <c r="D892" s="37" t="s">
        <v>8</v>
      </c>
      <c r="E892" s="39" t="s">
        <v>24</v>
      </c>
      <c r="F892" s="39"/>
      <c r="G892" s="2"/>
      <c r="H892" s="39"/>
      <c r="I892" s="39"/>
      <c r="J892" s="39"/>
      <c r="K892" s="6">
        <f>SUM(K893+K962)</f>
        <v>178751.50000000003</v>
      </c>
    </row>
    <row r="893" spans="1:11" s="26" customFormat="1" x14ac:dyDescent="0.25">
      <c r="A893" s="104"/>
      <c r="B893" s="1" t="s">
        <v>385</v>
      </c>
      <c r="C893" s="2">
        <v>925</v>
      </c>
      <c r="D893" s="39" t="s">
        <v>8</v>
      </c>
      <c r="E893" s="39" t="s">
        <v>24</v>
      </c>
      <c r="F893" s="39" t="s">
        <v>2</v>
      </c>
      <c r="G893" s="2"/>
      <c r="H893" s="39"/>
      <c r="I893" s="39"/>
      <c r="J893" s="39"/>
      <c r="K893" s="6">
        <f>SUM(K894)</f>
        <v>178372.30000000002</v>
      </c>
    </row>
    <row r="894" spans="1:11" s="26" customFormat="1" ht="18" customHeight="1" x14ac:dyDescent="0.25">
      <c r="A894" s="104"/>
      <c r="B894" s="1" t="s">
        <v>386</v>
      </c>
      <c r="C894" s="2">
        <v>925</v>
      </c>
      <c r="D894" s="39" t="s">
        <v>8</v>
      </c>
      <c r="E894" s="39" t="s">
        <v>24</v>
      </c>
      <c r="F894" s="39" t="s">
        <v>2</v>
      </c>
      <c r="G894" s="2">
        <v>1</v>
      </c>
      <c r="H894" s="39"/>
      <c r="I894" s="39"/>
      <c r="J894" s="39"/>
      <c r="K894" s="6">
        <f>SUM(K929+K936+K895+K922+K914+K949+K956+K944+K959)</f>
        <v>178372.30000000002</v>
      </c>
    </row>
    <row r="895" spans="1:11" s="26" customFormat="1" ht="50.25" customHeight="1" x14ac:dyDescent="0.25">
      <c r="A895" s="104"/>
      <c r="B895" s="40" t="s">
        <v>108</v>
      </c>
      <c r="C895" s="2">
        <v>925</v>
      </c>
      <c r="D895" s="39" t="s">
        <v>8</v>
      </c>
      <c r="E895" s="39" t="s">
        <v>24</v>
      </c>
      <c r="F895" s="39" t="s">
        <v>2</v>
      </c>
      <c r="G895" s="2">
        <v>1</v>
      </c>
      <c r="H895" s="39" t="s">
        <v>4</v>
      </c>
      <c r="I895" s="39"/>
      <c r="J895" s="39"/>
      <c r="K895" s="6">
        <f>SUM(K896+K900+K911+K909+K907+K905)</f>
        <v>135118.30000000002</v>
      </c>
    </row>
    <row r="896" spans="1:11" s="26" customFormat="1" x14ac:dyDescent="0.25">
      <c r="A896" s="104"/>
      <c r="B896" s="1" t="s">
        <v>47</v>
      </c>
      <c r="C896" s="2">
        <v>925</v>
      </c>
      <c r="D896" s="39" t="s">
        <v>8</v>
      </c>
      <c r="E896" s="39" t="s">
        <v>24</v>
      </c>
      <c r="F896" s="39" t="s">
        <v>2</v>
      </c>
      <c r="G896" s="2">
        <v>1</v>
      </c>
      <c r="H896" s="39" t="s">
        <v>4</v>
      </c>
      <c r="I896" s="39" t="s">
        <v>78</v>
      </c>
      <c r="J896" s="39"/>
      <c r="K896" s="6">
        <f>SUM(K897:K899)</f>
        <v>8604.1999999999989</v>
      </c>
    </row>
    <row r="897" spans="1:11" s="26" customFormat="1" ht="52.5" customHeight="1" x14ac:dyDescent="0.25">
      <c r="A897" s="104"/>
      <c r="B897" s="1" t="s">
        <v>122</v>
      </c>
      <c r="C897" s="2">
        <v>925</v>
      </c>
      <c r="D897" s="39" t="s">
        <v>8</v>
      </c>
      <c r="E897" s="39" t="s">
        <v>24</v>
      </c>
      <c r="F897" s="39" t="s">
        <v>2</v>
      </c>
      <c r="G897" s="2">
        <v>1</v>
      </c>
      <c r="H897" s="39" t="s">
        <v>4</v>
      </c>
      <c r="I897" s="39" t="s">
        <v>78</v>
      </c>
      <c r="J897" s="39" t="s">
        <v>48</v>
      </c>
      <c r="K897" s="6">
        <f>8593.8-0.6+0.6</f>
        <v>8593.7999999999993</v>
      </c>
    </row>
    <row r="898" spans="1:11" s="26" customFormat="1" ht="31.2" x14ac:dyDescent="0.25">
      <c r="A898" s="104"/>
      <c r="B898" s="1" t="s">
        <v>123</v>
      </c>
      <c r="C898" s="2">
        <v>925</v>
      </c>
      <c r="D898" s="39" t="s">
        <v>8</v>
      </c>
      <c r="E898" s="39" t="s">
        <v>24</v>
      </c>
      <c r="F898" s="39" t="s">
        <v>2</v>
      </c>
      <c r="G898" s="2">
        <v>1</v>
      </c>
      <c r="H898" s="39" t="s">
        <v>4</v>
      </c>
      <c r="I898" s="39" t="s">
        <v>78</v>
      </c>
      <c r="J898" s="39" t="s">
        <v>49</v>
      </c>
      <c r="K898" s="6">
        <v>8.8000000000000007</v>
      </c>
    </row>
    <row r="899" spans="1:11" s="26" customFormat="1" x14ac:dyDescent="0.25">
      <c r="A899" s="104"/>
      <c r="B899" s="1" t="s">
        <v>50</v>
      </c>
      <c r="C899" s="2">
        <v>925</v>
      </c>
      <c r="D899" s="39" t="s">
        <v>8</v>
      </c>
      <c r="E899" s="39" t="s">
        <v>24</v>
      </c>
      <c r="F899" s="39" t="s">
        <v>2</v>
      </c>
      <c r="G899" s="2">
        <v>1</v>
      </c>
      <c r="H899" s="39" t="s">
        <v>4</v>
      </c>
      <c r="I899" s="39" t="s">
        <v>78</v>
      </c>
      <c r="J899" s="39" t="s">
        <v>51</v>
      </c>
      <c r="K899" s="6">
        <f>1+0.6</f>
        <v>1.6</v>
      </c>
    </row>
    <row r="900" spans="1:11" s="26" customFormat="1" ht="46.8" x14ac:dyDescent="0.25">
      <c r="A900" s="104"/>
      <c r="B900" s="40" t="s">
        <v>111</v>
      </c>
      <c r="C900" s="2">
        <v>925</v>
      </c>
      <c r="D900" s="39" t="s">
        <v>8</v>
      </c>
      <c r="E900" s="39" t="s">
        <v>24</v>
      </c>
      <c r="F900" s="39" t="s">
        <v>2</v>
      </c>
      <c r="G900" s="2">
        <v>1</v>
      </c>
      <c r="H900" s="39" t="s">
        <v>4</v>
      </c>
      <c r="I900" s="39" t="s">
        <v>85</v>
      </c>
      <c r="J900" s="39"/>
      <c r="K900" s="6">
        <f>SUM(K901:K904)</f>
        <v>100648</v>
      </c>
    </row>
    <row r="901" spans="1:11" s="26" customFormat="1" ht="54" customHeight="1" x14ac:dyDescent="0.25">
      <c r="A901" s="104"/>
      <c r="B901" s="1" t="s">
        <v>122</v>
      </c>
      <c r="C901" s="2">
        <v>925</v>
      </c>
      <c r="D901" s="39" t="s">
        <v>8</v>
      </c>
      <c r="E901" s="39" t="s">
        <v>24</v>
      </c>
      <c r="F901" s="39" t="s">
        <v>2</v>
      </c>
      <c r="G901" s="2">
        <v>1</v>
      </c>
      <c r="H901" s="39" t="s">
        <v>4</v>
      </c>
      <c r="I901" s="39" t="s">
        <v>85</v>
      </c>
      <c r="J901" s="39" t="s">
        <v>48</v>
      </c>
      <c r="K901" s="6">
        <f>85901.9-1.9+1.9-1738.9+4573.1-1373.3</f>
        <v>87362.8</v>
      </c>
    </row>
    <row r="902" spans="1:11" s="26" customFormat="1" ht="31.2" x14ac:dyDescent="0.25">
      <c r="A902" s="104"/>
      <c r="B902" s="1" t="s">
        <v>123</v>
      </c>
      <c r="C902" s="2">
        <v>925</v>
      </c>
      <c r="D902" s="39" t="s">
        <v>8</v>
      </c>
      <c r="E902" s="39" t="s">
        <v>24</v>
      </c>
      <c r="F902" s="39" t="s">
        <v>2</v>
      </c>
      <c r="G902" s="2">
        <v>1</v>
      </c>
      <c r="H902" s="39" t="s">
        <v>4</v>
      </c>
      <c r="I902" s="39" t="s">
        <v>85</v>
      </c>
      <c r="J902" s="39" t="s">
        <v>49</v>
      </c>
      <c r="K902" s="6">
        <f>11263.4+176.3+160+1606.7</f>
        <v>13206.4</v>
      </c>
    </row>
    <row r="903" spans="1:11" s="26" customFormat="1" x14ac:dyDescent="0.25">
      <c r="A903" s="104"/>
      <c r="B903" s="1" t="s">
        <v>55</v>
      </c>
      <c r="C903" s="2">
        <v>925</v>
      </c>
      <c r="D903" s="39" t="s">
        <v>8</v>
      </c>
      <c r="E903" s="39" t="s">
        <v>24</v>
      </c>
      <c r="F903" s="39" t="s">
        <v>2</v>
      </c>
      <c r="G903" s="2">
        <v>1</v>
      </c>
      <c r="H903" s="39" t="s">
        <v>4</v>
      </c>
      <c r="I903" s="39" t="s">
        <v>85</v>
      </c>
      <c r="J903" s="39" t="s">
        <v>56</v>
      </c>
      <c r="K903" s="6"/>
    </row>
    <row r="904" spans="1:11" s="26" customFormat="1" x14ac:dyDescent="0.25">
      <c r="A904" s="104"/>
      <c r="B904" s="1" t="s">
        <v>50</v>
      </c>
      <c r="C904" s="2">
        <v>925</v>
      </c>
      <c r="D904" s="39" t="s">
        <v>8</v>
      </c>
      <c r="E904" s="39" t="s">
        <v>24</v>
      </c>
      <c r="F904" s="39" t="s">
        <v>2</v>
      </c>
      <c r="G904" s="2">
        <v>1</v>
      </c>
      <c r="H904" s="39" t="s">
        <v>4</v>
      </c>
      <c r="I904" s="39" t="s">
        <v>85</v>
      </c>
      <c r="J904" s="39" t="s">
        <v>51</v>
      </c>
      <c r="K904" s="6">
        <f>51.6+25.3+1.9</f>
        <v>78.800000000000011</v>
      </c>
    </row>
    <row r="905" spans="1:11" s="26" customFormat="1" x14ac:dyDescent="0.25">
      <c r="A905" s="104"/>
      <c r="B905" s="1" t="s">
        <v>234</v>
      </c>
      <c r="C905" s="2">
        <v>925</v>
      </c>
      <c r="D905" s="39" t="s">
        <v>8</v>
      </c>
      <c r="E905" s="37" t="s">
        <v>24</v>
      </c>
      <c r="F905" s="37" t="s">
        <v>2</v>
      </c>
      <c r="G905" s="38">
        <v>1</v>
      </c>
      <c r="H905" s="39" t="s">
        <v>4</v>
      </c>
      <c r="I905" s="37" t="s">
        <v>233</v>
      </c>
      <c r="J905" s="37"/>
      <c r="K905" s="6">
        <f>SUM(K906)</f>
        <v>24</v>
      </c>
    </row>
    <row r="906" spans="1:11" s="26" customFormat="1" ht="31.2" x14ac:dyDescent="0.25">
      <c r="A906" s="104"/>
      <c r="B906" s="1" t="s">
        <v>123</v>
      </c>
      <c r="C906" s="2">
        <v>925</v>
      </c>
      <c r="D906" s="37" t="s">
        <v>8</v>
      </c>
      <c r="E906" s="37" t="s">
        <v>24</v>
      </c>
      <c r="F906" s="37" t="s">
        <v>2</v>
      </c>
      <c r="G906" s="38">
        <v>1</v>
      </c>
      <c r="H906" s="39" t="s">
        <v>4</v>
      </c>
      <c r="I906" s="37" t="s">
        <v>233</v>
      </c>
      <c r="J906" s="37" t="s">
        <v>49</v>
      </c>
      <c r="K906" s="6">
        <v>24</v>
      </c>
    </row>
    <row r="907" spans="1:11" s="26" customFormat="1" ht="109.2" x14ac:dyDescent="0.25">
      <c r="A907" s="104"/>
      <c r="B907" s="40" t="s">
        <v>311</v>
      </c>
      <c r="C907" s="2">
        <v>925</v>
      </c>
      <c r="D907" s="39" t="s">
        <v>8</v>
      </c>
      <c r="E907" s="39" t="s">
        <v>24</v>
      </c>
      <c r="F907" s="39" t="s">
        <v>2</v>
      </c>
      <c r="G907" s="2">
        <v>1</v>
      </c>
      <c r="H907" s="39" t="s">
        <v>4</v>
      </c>
      <c r="I907" s="39" t="s">
        <v>310</v>
      </c>
      <c r="J907" s="39"/>
      <c r="K907" s="6">
        <f>K908</f>
        <v>0</v>
      </c>
    </row>
    <row r="908" spans="1:11" s="26" customFormat="1" ht="31.2" x14ac:dyDescent="0.25">
      <c r="A908" s="104"/>
      <c r="B908" s="3" t="s">
        <v>121</v>
      </c>
      <c r="C908" s="2">
        <v>925</v>
      </c>
      <c r="D908" s="39" t="s">
        <v>8</v>
      </c>
      <c r="E908" s="39" t="s">
        <v>24</v>
      </c>
      <c r="F908" s="39" t="s">
        <v>2</v>
      </c>
      <c r="G908" s="2">
        <v>1</v>
      </c>
      <c r="H908" s="39" t="s">
        <v>4</v>
      </c>
      <c r="I908" s="39" t="s">
        <v>310</v>
      </c>
      <c r="J908" s="39" t="s">
        <v>59</v>
      </c>
      <c r="K908" s="6"/>
    </row>
    <row r="909" spans="1:11" s="26" customFormat="1" ht="62.4" x14ac:dyDescent="0.25">
      <c r="A909" s="104"/>
      <c r="B909" s="40" t="s">
        <v>201</v>
      </c>
      <c r="C909" s="2">
        <v>925</v>
      </c>
      <c r="D909" s="39" t="s">
        <v>8</v>
      </c>
      <c r="E909" s="39" t="s">
        <v>24</v>
      </c>
      <c r="F909" s="39" t="s">
        <v>2</v>
      </c>
      <c r="G909" s="2">
        <v>1</v>
      </c>
      <c r="H909" s="39" t="s">
        <v>4</v>
      </c>
      <c r="I909" s="39" t="s">
        <v>116</v>
      </c>
      <c r="J909" s="39"/>
      <c r="K909" s="6">
        <f>K910</f>
        <v>73.2</v>
      </c>
    </row>
    <row r="910" spans="1:11" s="26" customFormat="1" ht="52.5" customHeight="1" x14ac:dyDescent="0.25">
      <c r="A910" s="104"/>
      <c r="B910" s="1" t="s">
        <v>122</v>
      </c>
      <c r="C910" s="2">
        <v>925</v>
      </c>
      <c r="D910" s="39" t="s">
        <v>8</v>
      </c>
      <c r="E910" s="39" t="s">
        <v>24</v>
      </c>
      <c r="F910" s="39" t="s">
        <v>2</v>
      </c>
      <c r="G910" s="2">
        <v>1</v>
      </c>
      <c r="H910" s="39" t="s">
        <v>4</v>
      </c>
      <c r="I910" s="39" t="s">
        <v>116</v>
      </c>
      <c r="J910" s="39" t="s">
        <v>48</v>
      </c>
      <c r="K910" s="6">
        <v>73.2</v>
      </c>
    </row>
    <row r="911" spans="1:11" s="26" customFormat="1" ht="62.4" x14ac:dyDescent="0.25">
      <c r="A911" s="104"/>
      <c r="B911" s="3" t="s">
        <v>202</v>
      </c>
      <c r="C911" s="2">
        <v>925</v>
      </c>
      <c r="D911" s="39" t="s">
        <v>8</v>
      </c>
      <c r="E911" s="39" t="s">
        <v>24</v>
      </c>
      <c r="F911" s="39" t="s">
        <v>2</v>
      </c>
      <c r="G911" s="2">
        <v>1</v>
      </c>
      <c r="H911" s="39" t="s">
        <v>4</v>
      </c>
      <c r="I911" s="39" t="s">
        <v>110</v>
      </c>
      <c r="J911" s="39"/>
      <c r="K911" s="6">
        <f>SUM(K912:K913)</f>
        <v>25768.899999999998</v>
      </c>
    </row>
    <row r="912" spans="1:11" s="26" customFormat="1" ht="54.75" customHeight="1" x14ac:dyDescent="0.25">
      <c r="A912" s="104"/>
      <c r="B912" s="1" t="s">
        <v>122</v>
      </c>
      <c r="C912" s="2">
        <v>925</v>
      </c>
      <c r="D912" s="39" t="s">
        <v>8</v>
      </c>
      <c r="E912" s="39" t="s">
        <v>24</v>
      </c>
      <c r="F912" s="39" t="s">
        <v>2</v>
      </c>
      <c r="G912" s="2">
        <v>1</v>
      </c>
      <c r="H912" s="39" t="s">
        <v>4</v>
      </c>
      <c r="I912" s="39" t="s">
        <v>110</v>
      </c>
      <c r="J912" s="39" t="s">
        <v>48</v>
      </c>
      <c r="K912" s="6">
        <f>8773.5+16038.5-335-910.4+1574.2+315.8+312.3</f>
        <v>25768.899999999998</v>
      </c>
    </row>
    <row r="913" spans="1:11" s="26" customFormat="1" ht="26.25" customHeight="1" x14ac:dyDescent="0.25">
      <c r="A913" s="104"/>
      <c r="B913" s="1" t="s">
        <v>123</v>
      </c>
      <c r="C913" s="2">
        <v>925</v>
      </c>
      <c r="D913" s="39" t="s">
        <v>8</v>
      </c>
      <c r="E913" s="39" t="s">
        <v>24</v>
      </c>
      <c r="F913" s="39" t="s">
        <v>2</v>
      </c>
      <c r="G913" s="2">
        <v>1</v>
      </c>
      <c r="H913" s="39" t="s">
        <v>4</v>
      </c>
      <c r="I913" s="39" t="s">
        <v>110</v>
      </c>
      <c r="J913" s="39" t="s">
        <v>49</v>
      </c>
      <c r="K913" s="6"/>
    </row>
    <row r="914" spans="1:11" s="26" customFormat="1" ht="46.8" x14ac:dyDescent="0.25">
      <c r="A914" s="104"/>
      <c r="B914" s="1" t="s">
        <v>190</v>
      </c>
      <c r="C914" s="2">
        <v>925</v>
      </c>
      <c r="D914" s="39" t="s">
        <v>8</v>
      </c>
      <c r="E914" s="39" t="s">
        <v>24</v>
      </c>
      <c r="F914" s="37" t="s">
        <v>2</v>
      </c>
      <c r="G914" s="37" t="s">
        <v>90</v>
      </c>
      <c r="H914" s="37" t="s">
        <v>5</v>
      </c>
      <c r="I914" s="37"/>
      <c r="J914" s="39"/>
      <c r="K914" s="6">
        <f>SUM(K915+K919)</f>
        <v>2339.1000000000004</v>
      </c>
    </row>
    <row r="915" spans="1:11" s="26" customFormat="1" ht="31.2" x14ac:dyDescent="0.25">
      <c r="A915" s="104"/>
      <c r="B915" s="1" t="s">
        <v>393</v>
      </c>
      <c r="C915" s="2">
        <v>925</v>
      </c>
      <c r="D915" s="39" t="s">
        <v>8</v>
      </c>
      <c r="E915" s="39" t="s">
        <v>24</v>
      </c>
      <c r="F915" s="37" t="s">
        <v>2</v>
      </c>
      <c r="G915" s="37" t="s">
        <v>90</v>
      </c>
      <c r="H915" s="37" t="s">
        <v>5</v>
      </c>
      <c r="I915" s="37" t="s">
        <v>191</v>
      </c>
      <c r="J915" s="39"/>
      <c r="K915" s="6">
        <f>SUM(K916:K918)</f>
        <v>1199.8</v>
      </c>
    </row>
    <row r="916" spans="1:11" s="26" customFormat="1" ht="45.75" customHeight="1" x14ac:dyDescent="0.25">
      <c r="A916" s="104"/>
      <c r="B916" s="1" t="s">
        <v>122</v>
      </c>
      <c r="C916" s="2">
        <v>925</v>
      </c>
      <c r="D916" s="39" t="s">
        <v>8</v>
      </c>
      <c r="E916" s="39" t="s">
        <v>24</v>
      </c>
      <c r="F916" s="37" t="s">
        <v>2</v>
      </c>
      <c r="G916" s="37" t="s">
        <v>90</v>
      </c>
      <c r="H916" s="37" t="s">
        <v>5</v>
      </c>
      <c r="I916" s="37" t="s">
        <v>191</v>
      </c>
      <c r="J916" s="39" t="s">
        <v>48</v>
      </c>
      <c r="K916" s="6">
        <v>727.1</v>
      </c>
    </row>
    <row r="917" spans="1:11" s="26" customFormat="1" ht="31.2" x14ac:dyDescent="0.25">
      <c r="A917" s="104"/>
      <c r="B917" s="1" t="s">
        <v>123</v>
      </c>
      <c r="C917" s="2">
        <v>925</v>
      </c>
      <c r="D917" s="39" t="s">
        <v>8</v>
      </c>
      <c r="E917" s="39" t="s">
        <v>24</v>
      </c>
      <c r="F917" s="37" t="s">
        <v>2</v>
      </c>
      <c r="G917" s="37" t="s">
        <v>90</v>
      </c>
      <c r="H917" s="37" t="s">
        <v>5</v>
      </c>
      <c r="I917" s="37" t="s">
        <v>191</v>
      </c>
      <c r="J917" s="39" t="s">
        <v>49</v>
      </c>
      <c r="K917" s="6">
        <v>472.7</v>
      </c>
    </row>
    <row r="918" spans="1:11" s="26" customFormat="1" ht="31.2" x14ac:dyDescent="0.25">
      <c r="A918" s="104"/>
      <c r="B918" s="43" t="s">
        <v>121</v>
      </c>
      <c r="C918" s="2">
        <v>925</v>
      </c>
      <c r="D918" s="39" t="s">
        <v>8</v>
      </c>
      <c r="E918" s="39" t="s">
        <v>24</v>
      </c>
      <c r="F918" s="37" t="s">
        <v>2</v>
      </c>
      <c r="G918" s="37" t="s">
        <v>90</v>
      </c>
      <c r="H918" s="37" t="s">
        <v>5</v>
      </c>
      <c r="I918" s="37" t="s">
        <v>191</v>
      </c>
      <c r="J918" s="39" t="s">
        <v>59</v>
      </c>
      <c r="K918" s="6">
        <f>1199.8-1199.8</f>
        <v>0</v>
      </c>
    </row>
    <row r="919" spans="1:11" s="26" customFormat="1" ht="62.4" x14ac:dyDescent="0.25">
      <c r="A919" s="104"/>
      <c r="B919" s="1" t="s">
        <v>295</v>
      </c>
      <c r="C919" s="2">
        <v>925</v>
      </c>
      <c r="D919" s="39" t="s">
        <v>8</v>
      </c>
      <c r="E919" s="39" t="s">
        <v>24</v>
      </c>
      <c r="F919" s="37" t="s">
        <v>2</v>
      </c>
      <c r="G919" s="37" t="s">
        <v>90</v>
      </c>
      <c r="H919" s="37" t="s">
        <v>5</v>
      </c>
      <c r="I919" s="37" t="s">
        <v>296</v>
      </c>
      <c r="J919" s="39"/>
      <c r="K919" s="6">
        <f>K920+K921</f>
        <v>1139.3000000000002</v>
      </c>
    </row>
    <row r="920" spans="1:11" s="26" customFormat="1" ht="50.25" customHeight="1" x14ac:dyDescent="0.25">
      <c r="A920" s="104"/>
      <c r="B920" s="1" t="s">
        <v>122</v>
      </c>
      <c r="C920" s="2">
        <v>925</v>
      </c>
      <c r="D920" s="39" t="s">
        <v>8</v>
      </c>
      <c r="E920" s="39" t="s">
        <v>24</v>
      </c>
      <c r="F920" s="37" t="s">
        <v>2</v>
      </c>
      <c r="G920" s="37" t="s">
        <v>90</v>
      </c>
      <c r="H920" s="37" t="s">
        <v>5</v>
      </c>
      <c r="I920" s="37" t="s">
        <v>296</v>
      </c>
      <c r="J920" s="39" t="s">
        <v>48</v>
      </c>
      <c r="K920" s="6">
        <f>609.6-173.6+437.1</f>
        <v>873.1</v>
      </c>
    </row>
    <row r="921" spans="1:11" s="26" customFormat="1" ht="31.2" x14ac:dyDescent="0.25">
      <c r="A921" s="104"/>
      <c r="B921" s="43" t="s">
        <v>121</v>
      </c>
      <c r="C921" s="2">
        <v>925</v>
      </c>
      <c r="D921" s="39" t="s">
        <v>8</v>
      </c>
      <c r="E921" s="39" t="s">
        <v>24</v>
      </c>
      <c r="F921" s="37" t="s">
        <v>2</v>
      </c>
      <c r="G921" s="37" t="s">
        <v>90</v>
      </c>
      <c r="H921" s="37" t="s">
        <v>5</v>
      </c>
      <c r="I921" s="37" t="s">
        <v>296</v>
      </c>
      <c r="J921" s="39" t="s">
        <v>59</v>
      </c>
      <c r="K921" s="6">
        <f>529.7+173.6-437.1</f>
        <v>266.20000000000005</v>
      </c>
    </row>
    <row r="922" spans="1:11" s="26" customFormat="1" ht="31.2" x14ac:dyDescent="0.25">
      <c r="A922" s="104"/>
      <c r="B922" s="1" t="s">
        <v>112</v>
      </c>
      <c r="C922" s="2">
        <v>925</v>
      </c>
      <c r="D922" s="37" t="s">
        <v>8</v>
      </c>
      <c r="E922" s="39" t="s">
        <v>24</v>
      </c>
      <c r="F922" s="39" t="s">
        <v>2</v>
      </c>
      <c r="G922" s="2">
        <v>1</v>
      </c>
      <c r="H922" s="37" t="s">
        <v>6</v>
      </c>
      <c r="I922" s="39"/>
      <c r="J922" s="39"/>
      <c r="K922" s="6">
        <f>K923+K925+K927</f>
        <v>14148.799999999997</v>
      </c>
    </row>
    <row r="923" spans="1:11" s="26" customFormat="1" ht="31.2" x14ac:dyDescent="0.25">
      <c r="A923" s="104"/>
      <c r="B923" s="54" t="s">
        <v>168</v>
      </c>
      <c r="C923" s="2">
        <v>925</v>
      </c>
      <c r="D923" s="39" t="s">
        <v>8</v>
      </c>
      <c r="E923" s="39" t="s">
        <v>24</v>
      </c>
      <c r="F923" s="39" t="s">
        <v>2</v>
      </c>
      <c r="G923" s="2">
        <v>1</v>
      </c>
      <c r="H923" s="37" t="s">
        <v>6</v>
      </c>
      <c r="I923" s="39" t="s">
        <v>142</v>
      </c>
      <c r="J923" s="39"/>
      <c r="K923" s="6">
        <f>K924</f>
        <v>13568.999999999996</v>
      </c>
    </row>
    <row r="924" spans="1:11" s="26" customFormat="1" ht="31.2" x14ac:dyDescent="0.25">
      <c r="A924" s="104"/>
      <c r="B924" s="3" t="s">
        <v>121</v>
      </c>
      <c r="C924" s="2">
        <v>925</v>
      </c>
      <c r="D924" s="39" t="s">
        <v>8</v>
      </c>
      <c r="E924" s="39" t="s">
        <v>24</v>
      </c>
      <c r="F924" s="39" t="s">
        <v>2</v>
      </c>
      <c r="G924" s="2">
        <v>1</v>
      </c>
      <c r="H924" s="37" t="s">
        <v>6</v>
      </c>
      <c r="I924" s="39" t="s">
        <v>142</v>
      </c>
      <c r="J924" s="39" t="s">
        <v>59</v>
      </c>
      <c r="K924" s="6">
        <f>11420.3+11420.4-9271.7</f>
        <v>13568.999999999996</v>
      </c>
    </row>
    <row r="925" spans="1:11" s="26" customFormat="1" ht="124.8" x14ac:dyDescent="0.25">
      <c r="A925" s="104"/>
      <c r="B925" s="1" t="s">
        <v>308</v>
      </c>
      <c r="C925" s="2">
        <v>925</v>
      </c>
      <c r="D925" s="39" t="s">
        <v>8</v>
      </c>
      <c r="E925" s="39" t="s">
        <v>24</v>
      </c>
      <c r="F925" s="39" t="s">
        <v>2</v>
      </c>
      <c r="G925" s="2">
        <v>1</v>
      </c>
      <c r="H925" s="37" t="s">
        <v>6</v>
      </c>
      <c r="I925" s="39" t="s">
        <v>114</v>
      </c>
      <c r="J925" s="39"/>
      <c r="K925" s="6">
        <f>SUM(K926)</f>
        <v>548.70000000000005</v>
      </c>
    </row>
    <row r="926" spans="1:11" s="26" customFormat="1" ht="53.25" customHeight="1" x14ac:dyDescent="0.25">
      <c r="A926" s="104"/>
      <c r="B926" s="1" t="s">
        <v>122</v>
      </c>
      <c r="C926" s="2">
        <v>925</v>
      </c>
      <c r="D926" s="39" t="s">
        <v>8</v>
      </c>
      <c r="E926" s="39" t="s">
        <v>24</v>
      </c>
      <c r="F926" s="39" t="s">
        <v>2</v>
      </c>
      <c r="G926" s="2">
        <v>1</v>
      </c>
      <c r="H926" s="37" t="s">
        <v>6</v>
      </c>
      <c r="I926" s="39" t="s">
        <v>114</v>
      </c>
      <c r="J926" s="39" t="s">
        <v>48</v>
      </c>
      <c r="K926" s="6">
        <v>548.70000000000005</v>
      </c>
    </row>
    <row r="927" spans="1:11" s="26" customFormat="1" ht="78" x14ac:dyDescent="0.25">
      <c r="A927" s="104"/>
      <c r="B927" s="1" t="s">
        <v>433</v>
      </c>
      <c r="C927" s="2">
        <v>925</v>
      </c>
      <c r="D927" s="39" t="s">
        <v>8</v>
      </c>
      <c r="E927" s="39" t="s">
        <v>24</v>
      </c>
      <c r="F927" s="37" t="s">
        <v>2</v>
      </c>
      <c r="G927" s="37" t="s">
        <v>90</v>
      </c>
      <c r="H927" s="37" t="s">
        <v>6</v>
      </c>
      <c r="I927" s="37" t="s">
        <v>243</v>
      </c>
      <c r="J927" s="39"/>
      <c r="K927" s="6">
        <f>K928</f>
        <v>31.1</v>
      </c>
    </row>
    <row r="928" spans="1:11" s="26" customFormat="1" ht="51.75" customHeight="1" x14ac:dyDescent="0.25">
      <c r="A928" s="104"/>
      <c r="B928" s="1" t="s">
        <v>122</v>
      </c>
      <c r="C928" s="2">
        <v>925</v>
      </c>
      <c r="D928" s="39" t="s">
        <v>8</v>
      </c>
      <c r="E928" s="39" t="s">
        <v>24</v>
      </c>
      <c r="F928" s="37" t="s">
        <v>2</v>
      </c>
      <c r="G928" s="37" t="s">
        <v>90</v>
      </c>
      <c r="H928" s="37" t="s">
        <v>6</v>
      </c>
      <c r="I928" s="37" t="s">
        <v>243</v>
      </c>
      <c r="J928" s="39" t="s">
        <v>48</v>
      </c>
      <c r="K928" s="6">
        <v>31.1</v>
      </c>
    </row>
    <row r="929" spans="1:11" s="26" customFormat="1" ht="31.2" x14ac:dyDescent="0.25">
      <c r="A929" s="104"/>
      <c r="B929" s="1" t="s">
        <v>531</v>
      </c>
      <c r="C929" s="2">
        <v>925</v>
      </c>
      <c r="D929" s="39" t="s">
        <v>8</v>
      </c>
      <c r="E929" s="39" t="s">
        <v>24</v>
      </c>
      <c r="F929" s="39" t="s">
        <v>2</v>
      </c>
      <c r="G929" s="2">
        <v>1</v>
      </c>
      <c r="H929" s="39" t="s">
        <v>7</v>
      </c>
      <c r="I929" s="39"/>
      <c r="J929" s="39"/>
      <c r="K929" s="6">
        <f>SUM(K932+K930)</f>
        <v>299.8</v>
      </c>
    </row>
    <row r="930" spans="1:11" s="26" customFormat="1" ht="31.2" x14ac:dyDescent="0.25">
      <c r="A930" s="104"/>
      <c r="B930" s="40" t="s">
        <v>217</v>
      </c>
      <c r="C930" s="2">
        <v>925</v>
      </c>
      <c r="D930" s="39" t="s">
        <v>8</v>
      </c>
      <c r="E930" s="39" t="s">
        <v>24</v>
      </c>
      <c r="F930" s="37" t="s">
        <v>2</v>
      </c>
      <c r="G930" s="37" t="s">
        <v>90</v>
      </c>
      <c r="H930" s="39" t="s">
        <v>7</v>
      </c>
      <c r="I930" s="37" t="s">
        <v>216</v>
      </c>
      <c r="J930" s="39"/>
      <c r="K930" s="6">
        <f>K931</f>
        <v>210</v>
      </c>
    </row>
    <row r="931" spans="1:11" s="26" customFormat="1" ht="31.2" x14ac:dyDescent="0.25">
      <c r="A931" s="104"/>
      <c r="B931" s="1" t="s">
        <v>123</v>
      </c>
      <c r="C931" s="2">
        <v>925</v>
      </c>
      <c r="D931" s="39" t="s">
        <v>8</v>
      </c>
      <c r="E931" s="39" t="s">
        <v>24</v>
      </c>
      <c r="F931" s="37" t="s">
        <v>2</v>
      </c>
      <c r="G931" s="37" t="s">
        <v>90</v>
      </c>
      <c r="H931" s="39" t="s">
        <v>7</v>
      </c>
      <c r="I931" s="37" t="s">
        <v>216</v>
      </c>
      <c r="J931" s="39" t="s">
        <v>49</v>
      </c>
      <c r="K931" s="6">
        <v>210</v>
      </c>
    </row>
    <row r="932" spans="1:11" s="26" customFormat="1" ht="124.8" x14ac:dyDescent="0.25">
      <c r="A932" s="104"/>
      <c r="B932" s="1" t="s">
        <v>200</v>
      </c>
      <c r="C932" s="2">
        <v>925</v>
      </c>
      <c r="D932" s="39" t="s">
        <v>8</v>
      </c>
      <c r="E932" s="39" t="s">
        <v>24</v>
      </c>
      <c r="F932" s="39" t="s">
        <v>2</v>
      </c>
      <c r="G932" s="2">
        <v>1</v>
      </c>
      <c r="H932" s="39" t="s">
        <v>7</v>
      </c>
      <c r="I932" s="39" t="s">
        <v>138</v>
      </c>
      <c r="J932" s="39"/>
      <c r="K932" s="6">
        <f>SUM(K933:K935)</f>
        <v>89.8</v>
      </c>
    </row>
    <row r="933" spans="1:11" s="26" customFormat="1" ht="51" customHeight="1" x14ac:dyDescent="0.25">
      <c r="A933" s="104"/>
      <c r="B933" s="1" t="s">
        <v>122</v>
      </c>
      <c r="C933" s="2">
        <v>925</v>
      </c>
      <c r="D933" s="39" t="s">
        <v>8</v>
      </c>
      <c r="E933" s="39" t="s">
        <v>24</v>
      </c>
      <c r="F933" s="39" t="s">
        <v>2</v>
      </c>
      <c r="G933" s="2">
        <v>1</v>
      </c>
      <c r="H933" s="39" t="s">
        <v>7</v>
      </c>
      <c r="I933" s="39" t="s">
        <v>138</v>
      </c>
      <c r="J933" s="39" t="s">
        <v>48</v>
      </c>
      <c r="K933" s="6">
        <v>73.599999999999994</v>
      </c>
    </row>
    <row r="934" spans="1:11" s="26" customFormat="1" ht="31.2" x14ac:dyDescent="0.25">
      <c r="A934" s="104"/>
      <c r="B934" s="1" t="s">
        <v>123</v>
      </c>
      <c r="C934" s="2">
        <v>925</v>
      </c>
      <c r="D934" s="39" t="s">
        <v>8</v>
      </c>
      <c r="E934" s="39" t="s">
        <v>24</v>
      </c>
      <c r="F934" s="39" t="s">
        <v>2</v>
      </c>
      <c r="G934" s="2">
        <v>1</v>
      </c>
      <c r="H934" s="39" t="s">
        <v>7</v>
      </c>
      <c r="I934" s="39" t="s">
        <v>138</v>
      </c>
      <c r="J934" s="39" t="s">
        <v>49</v>
      </c>
      <c r="K934" s="6">
        <f>25-8.8</f>
        <v>16.2</v>
      </c>
    </row>
    <row r="935" spans="1:11" s="26" customFormat="1" x14ac:dyDescent="0.25">
      <c r="A935" s="104"/>
      <c r="B935" s="1" t="s">
        <v>55</v>
      </c>
      <c r="C935" s="2">
        <v>925</v>
      </c>
      <c r="D935" s="39" t="s">
        <v>8</v>
      </c>
      <c r="E935" s="39" t="s">
        <v>24</v>
      </c>
      <c r="F935" s="39" t="s">
        <v>2</v>
      </c>
      <c r="G935" s="2">
        <v>1</v>
      </c>
      <c r="H935" s="39" t="s">
        <v>7</v>
      </c>
      <c r="I935" s="39" t="s">
        <v>138</v>
      </c>
      <c r="J935" s="39" t="s">
        <v>56</v>
      </c>
      <c r="K935" s="6"/>
    </row>
    <row r="936" spans="1:11" s="26" customFormat="1" ht="62.4" x14ac:dyDescent="0.25">
      <c r="A936" s="104"/>
      <c r="B936" s="1" t="s">
        <v>106</v>
      </c>
      <c r="C936" s="2">
        <v>925</v>
      </c>
      <c r="D936" s="39" t="s">
        <v>8</v>
      </c>
      <c r="E936" s="39" t="s">
        <v>24</v>
      </c>
      <c r="F936" s="39" t="s">
        <v>2</v>
      </c>
      <c r="G936" s="2">
        <v>1</v>
      </c>
      <c r="H936" s="39" t="s">
        <v>30</v>
      </c>
      <c r="I936" s="39"/>
      <c r="J936" s="39"/>
      <c r="K936" s="6">
        <f>SUM(K939+K942+K937)</f>
        <v>8342.7999999999993</v>
      </c>
    </row>
    <row r="937" spans="1:11" s="26" customFormat="1" x14ac:dyDescent="0.25">
      <c r="A937" s="104"/>
      <c r="B937" s="40" t="s">
        <v>305</v>
      </c>
      <c r="C937" s="2">
        <v>925</v>
      </c>
      <c r="D937" s="39" t="s">
        <v>8</v>
      </c>
      <c r="E937" s="39" t="s">
        <v>24</v>
      </c>
      <c r="F937" s="39" t="s">
        <v>2</v>
      </c>
      <c r="G937" s="2">
        <v>1</v>
      </c>
      <c r="H937" s="39" t="s">
        <v>30</v>
      </c>
      <c r="I937" s="39" t="s">
        <v>306</v>
      </c>
      <c r="J937" s="39"/>
      <c r="K937" s="6">
        <f>K938</f>
        <v>1845</v>
      </c>
    </row>
    <row r="938" spans="1:11" s="26" customFormat="1" ht="31.2" x14ac:dyDescent="0.25">
      <c r="A938" s="104"/>
      <c r="B938" s="43" t="s">
        <v>121</v>
      </c>
      <c r="C938" s="2">
        <v>925</v>
      </c>
      <c r="D938" s="39" t="s">
        <v>8</v>
      </c>
      <c r="E938" s="39" t="s">
        <v>24</v>
      </c>
      <c r="F938" s="39" t="s">
        <v>2</v>
      </c>
      <c r="G938" s="2">
        <v>1</v>
      </c>
      <c r="H938" s="39" t="s">
        <v>30</v>
      </c>
      <c r="I938" s="39" t="s">
        <v>306</v>
      </c>
      <c r="J938" s="39" t="s">
        <v>59</v>
      </c>
      <c r="K938" s="6">
        <f>2244.8+333.6-500-233.4</f>
        <v>1845</v>
      </c>
    </row>
    <row r="939" spans="1:11" s="26" customFormat="1" ht="31.2" x14ac:dyDescent="0.25">
      <c r="A939" s="104"/>
      <c r="B939" s="40" t="s">
        <v>143</v>
      </c>
      <c r="C939" s="2">
        <v>925</v>
      </c>
      <c r="D939" s="39" t="s">
        <v>8</v>
      </c>
      <c r="E939" s="39" t="s">
        <v>24</v>
      </c>
      <c r="F939" s="39" t="s">
        <v>2</v>
      </c>
      <c r="G939" s="2">
        <v>1</v>
      </c>
      <c r="H939" s="39" t="s">
        <v>30</v>
      </c>
      <c r="I939" s="39" t="s">
        <v>115</v>
      </c>
      <c r="J939" s="39"/>
      <c r="K939" s="6">
        <f t="shared" ref="K939" si="42">SUM(K940:K941)</f>
        <v>6468</v>
      </c>
    </row>
    <row r="940" spans="1:11" s="26" customFormat="1" ht="49.5" customHeight="1" x14ac:dyDescent="0.25">
      <c r="A940" s="104"/>
      <c r="B940" s="1" t="s">
        <v>122</v>
      </c>
      <c r="C940" s="2">
        <v>925</v>
      </c>
      <c r="D940" s="39" t="s">
        <v>8</v>
      </c>
      <c r="E940" s="39" t="s">
        <v>24</v>
      </c>
      <c r="F940" s="39" t="s">
        <v>2</v>
      </c>
      <c r="G940" s="2">
        <v>1</v>
      </c>
      <c r="H940" s="39" t="s">
        <v>30</v>
      </c>
      <c r="I940" s="39" t="s">
        <v>115</v>
      </c>
      <c r="J940" s="39" t="s">
        <v>48</v>
      </c>
      <c r="K940" s="6"/>
    </row>
    <row r="941" spans="1:11" s="26" customFormat="1" ht="31.2" x14ac:dyDescent="0.25">
      <c r="A941" s="104"/>
      <c r="B941" s="43" t="s">
        <v>121</v>
      </c>
      <c r="C941" s="2">
        <v>925</v>
      </c>
      <c r="D941" s="39" t="s">
        <v>8</v>
      </c>
      <c r="E941" s="39" t="s">
        <v>24</v>
      </c>
      <c r="F941" s="39" t="s">
        <v>2</v>
      </c>
      <c r="G941" s="2">
        <v>1</v>
      </c>
      <c r="H941" s="39" t="s">
        <v>30</v>
      </c>
      <c r="I941" s="39" t="s">
        <v>115</v>
      </c>
      <c r="J941" s="39" t="s">
        <v>59</v>
      </c>
      <c r="K941" s="6">
        <f>2904+2724+180+305.9+354.1</f>
        <v>6468</v>
      </c>
    </row>
    <row r="942" spans="1:11" s="26" customFormat="1" ht="93.6" x14ac:dyDescent="0.25">
      <c r="A942" s="104"/>
      <c r="B942" s="42" t="s">
        <v>199</v>
      </c>
      <c r="C942" s="2">
        <v>925</v>
      </c>
      <c r="D942" s="39" t="s">
        <v>8</v>
      </c>
      <c r="E942" s="39" t="s">
        <v>24</v>
      </c>
      <c r="F942" s="39" t="s">
        <v>2</v>
      </c>
      <c r="G942" s="2">
        <v>1</v>
      </c>
      <c r="H942" s="39" t="s">
        <v>30</v>
      </c>
      <c r="I942" s="39" t="s">
        <v>107</v>
      </c>
      <c r="J942" s="39"/>
      <c r="K942" s="6">
        <f>SUM(K943)</f>
        <v>29.799999999999997</v>
      </c>
    </row>
    <row r="943" spans="1:11" s="26" customFormat="1" ht="47.25" customHeight="1" x14ac:dyDescent="0.25">
      <c r="A943" s="104"/>
      <c r="B943" s="1" t="s">
        <v>122</v>
      </c>
      <c r="C943" s="2">
        <v>925</v>
      </c>
      <c r="D943" s="39" t="s">
        <v>8</v>
      </c>
      <c r="E943" s="39" t="s">
        <v>24</v>
      </c>
      <c r="F943" s="39" t="s">
        <v>2</v>
      </c>
      <c r="G943" s="2">
        <v>1</v>
      </c>
      <c r="H943" s="39" t="s">
        <v>30</v>
      </c>
      <c r="I943" s="39" t="s">
        <v>107</v>
      </c>
      <c r="J943" s="39" t="s">
        <v>48</v>
      </c>
      <c r="K943" s="6">
        <f>8.1+19.2+0.4+0.1+1.7+0.3</f>
        <v>29.799999999999997</v>
      </c>
    </row>
    <row r="944" spans="1:11" s="26" customFormat="1" ht="46.8" x14ac:dyDescent="0.25">
      <c r="A944" s="104"/>
      <c r="B944" s="1" t="s">
        <v>157</v>
      </c>
      <c r="C944" s="2">
        <v>925</v>
      </c>
      <c r="D944" s="39" t="s">
        <v>8</v>
      </c>
      <c r="E944" s="39" t="s">
        <v>24</v>
      </c>
      <c r="F944" s="37" t="s">
        <v>2</v>
      </c>
      <c r="G944" s="37" t="s">
        <v>90</v>
      </c>
      <c r="H944" s="37" t="s">
        <v>24</v>
      </c>
      <c r="I944" s="37"/>
      <c r="J944" s="39"/>
      <c r="K944" s="6">
        <f>K945</f>
        <v>7018.5</v>
      </c>
    </row>
    <row r="945" spans="1:11" s="26" customFormat="1" x14ac:dyDescent="0.25">
      <c r="A945" s="104"/>
      <c r="B945" s="1" t="s">
        <v>303</v>
      </c>
      <c r="C945" s="2">
        <v>925</v>
      </c>
      <c r="D945" s="39" t="s">
        <v>8</v>
      </c>
      <c r="E945" s="39" t="s">
        <v>24</v>
      </c>
      <c r="F945" s="37" t="s">
        <v>2</v>
      </c>
      <c r="G945" s="37" t="s">
        <v>90</v>
      </c>
      <c r="H945" s="37" t="s">
        <v>24</v>
      </c>
      <c r="I945" s="37" t="s">
        <v>304</v>
      </c>
      <c r="J945" s="39"/>
      <c r="K945" s="6">
        <f>K946+K948+K947</f>
        <v>7018.5</v>
      </c>
    </row>
    <row r="946" spans="1:11" s="26" customFormat="1" ht="51" customHeight="1" x14ac:dyDescent="0.25">
      <c r="A946" s="104"/>
      <c r="B946" s="1" t="s">
        <v>122</v>
      </c>
      <c r="C946" s="2">
        <v>925</v>
      </c>
      <c r="D946" s="39" t="s">
        <v>8</v>
      </c>
      <c r="E946" s="39" t="s">
        <v>24</v>
      </c>
      <c r="F946" s="37" t="s">
        <v>2</v>
      </c>
      <c r="G946" s="37" t="s">
        <v>90</v>
      </c>
      <c r="H946" s="37" t="s">
        <v>24</v>
      </c>
      <c r="I946" s="37" t="s">
        <v>304</v>
      </c>
      <c r="J946" s="39" t="s">
        <v>48</v>
      </c>
      <c r="K946" s="6">
        <v>260</v>
      </c>
    </row>
    <row r="947" spans="1:11" s="26" customFormat="1" ht="31.2" x14ac:dyDescent="0.25">
      <c r="A947" s="104"/>
      <c r="B947" s="1" t="s">
        <v>123</v>
      </c>
      <c r="C947" s="2">
        <v>925</v>
      </c>
      <c r="D947" s="39" t="s">
        <v>8</v>
      </c>
      <c r="E947" s="39" t="s">
        <v>24</v>
      </c>
      <c r="F947" s="37" t="s">
        <v>2</v>
      </c>
      <c r="G947" s="37" t="s">
        <v>90</v>
      </c>
      <c r="H947" s="37" t="s">
        <v>24</v>
      </c>
      <c r="I947" s="37" t="s">
        <v>304</v>
      </c>
      <c r="J947" s="39" t="s">
        <v>49</v>
      </c>
      <c r="K947" s="6">
        <f>127-127</f>
        <v>0</v>
      </c>
    </row>
    <row r="948" spans="1:11" s="26" customFormat="1" ht="31.2" x14ac:dyDescent="0.25">
      <c r="A948" s="104"/>
      <c r="B948" s="1" t="s">
        <v>121</v>
      </c>
      <c r="C948" s="2">
        <v>925</v>
      </c>
      <c r="D948" s="39" t="s">
        <v>8</v>
      </c>
      <c r="E948" s="39" t="s">
        <v>24</v>
      </c>
      <c r="F948" s="37" t="s">
        <v>2</v>
      </c>
      <c r="G948" s="37" t="s">
        <v>90</v>
      </c>
      <c r="H948" s="37" t="s">
        <v>24</v>
      </c>
      <c r="I948" s="37" t="s">
        <v>304</v>
      </c>
      <c r="J948" s="39" t="s">
        <v>59</v>
      </c>
      <c r="K948" s="6">
        <f>275+550+120+275+300+1400+100+3210.9+660.6-133</f>
        <v>6758.5</v>
      </c>
    </row>
    <row r="949" spans="1:11" s="26" customFormat="1" ht="31.2" x14ac:dyDescent="0.25">
      <c r="A949" s="104"/>
      <c r="B949" s="1" t="s">
        <v>431</v>
      </c>
      <c r="C949" s="2">
        <v>925</v>
      </c>
      <c r="D949" s="39" t="s">
        <v>8</v>
      </c>
      <c r="E949" s="39" t="s">
        <v>24</v>
      </c>
      <c r="F949" s="37" t="s">
        <v>2</v>
      </c>
      <c r="G949" s="37" t="s">
        <v>90</v>
      </c>
      <c r="H949" s="37" t="s">
        <v>21</v>
      </c>
      <c r="I949" s="37"/>
      <c r="J949" s="39"/>
      <c r="K949" s="6">
        <f>SUM(K950+K953)</f>
        <v>8562.4000000000015</v>
      </c>
    </row>
    <row r="950" spans="1:11" s="26" customFormat="1" ht="31.2" x14ac:dyDescent="0.25">
      <c r="A950" s="104"/>
      <c r="B950" s="1" t="s">
        <v>618</v>
      </c>
      <c r="C950" s="2">
        <v>925</v>
      </c>
      <c r="D950" s="39" t="s">
        <v>8</v>
      </c>
      <c r="E950" s="39" t="s">
        <v>24</v>
      </c>
      <c r="F950" s="37" t="s">
        <v>2</v>
      </c>
      <c r="G950" s="37" t="s">
        <v>90</v>
      </c>
      <c r="H950" s="37" t="s">
        <v>21</v>
      </c>
      <c r="I950" s="37" t="s">
        <v>197</v>
      </c>
      <c r="J950" s="39"/>
      <c r="K950" s="6">
        <f>K952+K951</f>
        <v>4400.8</v>
      </c>
    </row>
    <row r="951" spans="1:11" s="26" customFormat="1" ht="31.2" x14ac:dyDescent="0.25">
      <c r="A951" s="104"/>
      <c r="B951" s="1" t="s">
        <v>123</v>
      </c>
      <c r="C951" s="2">
        <v>925</v>
      </c>
      <c r="D951" s="39" t="s">
        <v>8</v>
      </c>
      <c r="E951" s="39" t="s">
        <v>24</v>
      </c>
      <c r="F951" s="37" t="s">
        <v>2</v>
      </c>
      <c r="G951" s="37" t="s">
        <v>90</v>
      </c>
      <c r="H951" s="37" t="s">
        <v>21</v>
      </c>
      <c r="I951" s="37" t="s">
        <v>197</v>
      </c>
      <c r="J951" s="39" t="s">
        <v>49</v>
      </c>
      <c r="K951" s="6">
        <f>127</f>
        <v>127</v>
      </c>
    </row>
    <row r="952" spans="1:11" s="26" customFormat="1" ht="31.2" x14ac:dyDescent="0.25">
      <c r="A952" s="104"/>
      <c r="B952" s="1" t="s">
        <v>121</v>
      </c>
      <c r="C952" s="2">
        <v>925</v>
      </c>
      <c r="D952" s="39" t="s">
        <v>8</v>
      </c>
      <c r="E952" s="39" t="s">
        <v>24</v>
      </c>
      <c r="F952" s="37" t="s">
        <v>2</v>
      </c>
      <c r="G952" s="37" t="s">
        <v>90</v>
      </c>
      <c r="H952" s="37" t="s">
        <v>21</v>
      </c>
      <c r="I952" s="37" t="s">
        <v>197</v>
      </c>
      <c r="J952" s="39" t="s">
        <v>59</v>
      </c>
      <c r="K952" s="6">
        <f>2000+2273.8</f>
        <v>4273.8</v>
      </c>
    </row>
    <row r="953" spans="1:11" s="26" customFormat="1" ht="62.4" x14ac:dyDescent="0.25">
      <c r="A953" s="104"/>
      <c r="B953" s="1" t="s">
        <v>432</v>
      </c>
      <c r="C953" s="2">
        <v>925</v>
      </c>
      <c r="D953" s="39" t="s">
        <v>8</v>
      </c>
      <c r="E953" s="39" t="s">
        <v>24</v>
      </c>
      <c r="F953" s="37" t="s">
        <v>2</v>
      </c>
      <c r="G953" s="37" t="s">
        <v>90</v>
      </c>
      <c r="H953" s="37" t="s">
        <v>21</v>
      </c>
      <c r="I953" s="37" t="s">
        <v>430</v>
      </c>
      <c r="J953" s="37"/>
      <c r="K953" s="6">
        <f>SUM(K954:K955)</f>
        <v>4161.6000000000004</v>
      </c>
    </row>
    <row r="954" spans="1:11" s="26" customFormat="1" ht="50.25" customHeight="1" x14ac:dyDescent="0.25">
      <c r="A954" s="104"/>
      <c r="B954" s="1" t="s">
        <v>122</v>
      </c>
      <c r="C954" s="2">
        <v>925</v>
      </c>
      <c r="D954" s="39" t="s">
        <v>8</v>
      </c>
      <c r="E954" s="39" t="s">
        <v>24</v>
      </c>
      <c r="F954" s="37" t="s">
        <v>2</v>
      </c>
      <c r="G954" s="37" t="s">
        <v>90</v>
      </c>
      <c r="H954" s="37" t="s">
        <v>21</v>
      </c>
      <c r="I954" s="37" t="s">
        <v>430</v>
      </c>
      <c r="J954" s="37" t="s">
        <v>48</v>
      </c>
      <c r="K954" s="6">
        <v>61.5</v>
      </c>
    </row>
    <row r="955" spans="1:11" s="26" customFormat="1" ht="31.2" x14ac:dyDescent="0.25">
      <c r="A955" s="104"/>
      <c r="B955" s="3" t="s">
        <v>121</v>
      </c>
      <c r="C955" s="2">
        <v>925</v>
      </c>
      <c r="D955" s="39" t="s">
        <v>8</v>
      </c>
      <c r="E955" s="39" t="s">
        <v>24</v>
      </c>
      <c r="F955" s="37" t="s">
        <v>2</v>
      </c>
      <c r="G955" s="37" t="s">
        <v>90</v>
      </c>
      <c r="H955" s="37" t="s">
        <v>21</v>
      </c>
      <c r="I955" s="37" t="s">
        <v>430</v>
      </c>
      <c r="J955" s="37" t="s">
        <v>59</v>
      </c>
      <c r="K955" s="6">
        <v>4100.1000000000004</v>
      </c>
    </row>
    <row r="956" spans="1:11" s="26" customFormat="1" ht="31.2" x14ac:dyDescent="0.25">
      <c r="A956" s="104"/>
      <c r="B956" s="1" t="s">
        <v>559</v>
      </c>
      <c r="C956" s="2">
        <v>925</v>
      </c>
      <c r="D956" s="39" t="s">
        <v>8</v>
      </c>
      <c r="E956" s="39" t="s">
        <v>24</v>
      </c>
      <c r="F956" s="37" t="s">
        <v>2</v>
      </c>
      <c r="G956" s="37" t="s">
        <v>90</v>
      </c>
      <c r="H956" s="37" t="s">
        <v>23</v>
      </c>
      <c r="I956" s="37"/>
      <c r="J956" s="39"/>
      <c r="K956" s="6">
        <f>SUM(K957)</f>
        <v>589.6</v>
      </c>
    </row>
    <row r="957" spans="1:11" s="26" customFormat="1" x14ac:dyDescent="0.25">
      <c r="A957" s="104"/>
      <c r="B957" s="1" t="s">
        <v>494</v>
      </c>
      <c r="C957" s="2">
        <v>925</v>
      </c>
      <c r="D957" s="39" t="s">
        <v>8</v>
      </c>
      <c r="E957" s="39" t="s">
        <v>24</v>
      </c>
      <c r="F957" s="37" t="s">
        <v>2</v>
      </c>
      <c r="G957" s="37" t="s">
        <v>90</v>
      </c>
      <c r="H957" s="37" t="s">
        <v>23</v>
      </c>
      <c r="I957" s="37" t="s">
        <v>495</v>
      </c>
      <c r="J957" s="39"/>
      <c r="K957" s="6">
        <f>K958</f>
        <v>589.6</v>
      </c>
    </row>
    <row r="958" spans="1:11" s="26" customFormat="1" ht="31.2" x14ac:dyDescent="0.25">
      <c r="A958" s="104"/>
      <c r="B958" s="1" t="s">
        <v>121</v>
      </c>
      <c r="C958" s="2">
        <v>925</v>
      </c>
      <c r="D958" s="39" t="s">
        <v>8</v>
      </c>
      <c r="E958" s="39" t="s">
        <v>24</v>
      </c>
      <c r="F958" s="37" t="s">
        <v>2</v>
      </c>
      <c r="G958" s="37" t="s">
        <v>90</v>
      </c>
      <c r="H958" s="37" t="s">
        <v>23</v>
      </c>
      <c r="I958" s="37" t="s">
        <v>495</v>
      </c>
      <c r="J958" s="39" t="s">
        <v>59</v>
      </c>
      <c r="K958" s="6">
        <v>589.6</v>
      </c>
    </row>
    <row r="959" spans="1:11" s="26" customFormat="1" ht="22.95" customHeight="1" x14ac:dyDescent="0.25">
      <c r="A959" s="104"/>
      <c r="B959" s="1" t="s">
        <v>534</v>
      </c>
      <c r="C959" s="2">
        <v>925</v>
      </c>
      <c r="D959" s="39" t="s">
        <v>8</v>
      </c>
      <c r="E959" s="39" t="s">
        <v>24</v>
      </c>
      <c r="F959" s="37" t="s">
        <v>2</v>
      </c>
      <c r="G959" s="37" t="s">
        <v>90</v>
      </c>
      <c r="H959" s="37" t="s">
        <v>533</v>
      </c>
      <c r="I959" s="37"/>
      <c r="J959" s="39"/>
      <c r="K959" s="6">
        <f>K960</f>
        <v>1953</v>
      </c>
    </row>
    <row r="960" spans="1:11" s="26" customFormat="1" ht="112.2" customHeight="1" x14ac:dyDescent="0.25">
      <c r="A960" s="104"/>
      <c r="B960" s="1" t="s">
        <v>543</v>
      </c>
      <c r="C960" s="2">
        <v>925</v>
      </c>
      <c r="D960" s="39" t="s">
        <v>8</v>
      </c>
      <c r="E960" s="39" t="s">
        <v>24</v>
      </c>
      <c r="F960" s="37" t="s">
        <v>2</v>
      </c>
      <c r="G960" s="37" t="s">
        <v>90</v>
      </c>
      <c r="H960" s="37" t="s">
        <v>533</v>
      </c>
      <c r="I960" s="37" t="s">
        <v>310</v>
      </c>
      <c r="J960" s="39"/>
      <c r="K960" s="6">
        <f>K961</f>
        <v>1953</v>
      </c>
    </row>
    <row r="961" spans="1:11" s="26" customFormat="1" ht="34.5" customHeight="1" x14ac:dyDescent="0.25">
      <c r="A961" s="104"/>
      <c r="B961" s="1" t="s">
        <v>121</v>
      </c>
      <c r="C961" s="2">
        <v>925</v>
      </c>
      <c r="D961" s="39" t="s">
        <v>8</v>
      </c>
      <c r="E961" s="39" t="s">
        <v>24</v>
      </c>
      <c r="F961" s="37" t="s">
        <v>2</v>
      </c>
      <c r="G961" s="37" t="s">
        <v>90</v>
      </c>
      <c r="H961" s="37" t="s">
        <v>533</v>
      </c>
      <c r="I961" s="37" t="s">
        <v>310</v>
      </c>
      <c r="J961" s="39" t="s">
        <v>59</v>
      </c>
      <c r="K961" s="6">
        <v>1953</v>
      </c>
    </row>
    <row r="962" spans="1:11" s="26" customFormat="1" ht="31.2" x14ac:dyDescent="0.25">
      <c r="A962" s="104"/>
      <c r="B962" s="1" t="s">
        <v>285</v>
      </c>
      <c r="C962" s="2">
        <v>925</v>
      </c>
      <c r="D962" s="39" t="s">
        <v>8</v>
      </c>
      <c r="E962" s="39" t="s">
        <v>24</v>
      </c>
      <c r="F962" s="37" t="s">
        <v>70</v>
      </c>
      <c r="G962" s="37"/>
      <c r="H962" s="37"/>
      <c r="I962" s="37"/>
      <c r="J962" s="37"/>
      <c r="K962" s="6">
        <f>K963+K967</f>
        <v>379.20000000000005</v>
      </c>
    </row>
    <row r="963" spans="1:11" s="26" customFormat="1" ht="46.8" x14ac:dyDescent="0.25">
      <c r="A963" s="104"/>
      <c r="B963" s="1" t="s">
        <v>336</v>
      </c>
      <c r="C963" s="2">
        <v>925</v>
      </c>
      <c r="D963" s="39" t="s">
        <v>8</v>
      </c>
      <c r="E963" s="39" t="s">
        <v>24</v>
      </c>
      <c r="F963" s="37" t="s">
        <v>70</v>
      </c>
      <c r="G963" s="37" t="s">
        <v>90</v>
      </c>
      <c r="H963" s="37"/>
      <c r="I963" s="37"/>
      <c r="J963" s="37"/>
      <c r="K963" s="6">
        <f>K964</f>
        <v>205.4</v>
      </c>
    </row>
    <row r="964" spans="1:11" s="26" customFormat="1" ht="46.8" x14ac:dyDescent="0.25">
      <c r="A964" s="104"/>
      <c r="B964" s="1" t="s">
        <v>337</v>
      </c>
      <c r="C964" s="2">
        <v>925</v>
      </c>
      <c r="D964" s="39" t="s">
        <v>8</v>
      </c>
      <c r="E964" s="39" t="s">
        <v>24</v>
      </c>
      <c r="F964" s="37" t="s">
        <v>70</v>
      </c>
      <c r="G964" s="37" t="s">
        <v>90</v>
      </c>
      <c r="H964" s="37" t="s">
        <v>2</v>
      </c>
      <c r="I964" s="37"/>
      <c r="J964" s="37"/>
      <c r="K964" s="6">
        <f>K965</f>
        <v>205.4</v>
      </c>
    </row>
    <row r="965" spans="1:11" s="26" customFormat="1" ht="78" x14ac:dyDescent="0.25">
      <c r="A965" s="104"/>
      <c r="B965" s="1" t="s">
        <v>338</v>
      </c>
      <c r="C965" s="2">
        <v>925</v>
      </c>
      <c r="D965" s="39" t="s">
        <v>8</v>
      </c>
      <c r="E965" s="39" t="s">
        <v>24</v>
      </c>
      <c r="F965" s="37" t="s">
        <v>70</v>
      </c>
      <c r="G965" s="37" t="s">
        <v>90</v>
      </c>
      <c r="H965" s="37" t="s">
        <v>2</v>
      </c>
      <c r="I965" s="37" t="s">
        <v>284</v>
      </c>
      <c r="J965" s="37"/>
      <c r="K965" s="6">
        <f>K966</f>
        <v>205.4</v>
      </c>
    </row>
    <row r="966" spans="1:11" s="26" customFormat="1" ht="31.2" x14ac:dyDescent="0.25">
      <c r="A966" s="104"/>
      <c r="B966" s="1" t="s">
        <v>123</v>
      </c>
      <c r="C966" s="2">
        <v>925</v>
      </c>
      <c r="D966" s="39" t="s">
        <v>8</v>
      </c>
      <c r="E966" s="39" t="s">
        <v>24</v>
      </c>
      <c r="F966" s="37" t="s">
        <v>70</v>
      </c>
      <c r="G966" s="37" t="s">
        <v>90</v>
      </c>
      <c r="H966" s="37" t="s">
        <v>2</v>
      </c>
      <c r="I966" s="37" t="s">
        <v>284</v>
      </c>
      <c r="J966" s="37" t="s">
        <v>49</v>
      </c>
      <c r="K966" s="6">
        <v>205.4</v>
      </c>
    </row>
    <row r="967" spans="1:11" s="26" customFormat="1" ht="31.2" x14ac:dyDescent="0.25">
      <c r="A967" s="104"/>
      <c r="B967" s="1" t="s">
        <v>339</v>
      </c>
      <c r="C967" s="2">
        <v>925</v>
      </c>
      <c r="D967" s="39" t="s">
        <v>8</v>
      </c>
      <c r="E967" s="39" t="s">
        <v>24</v>
      </c>
      <c r="F967" s="37" t="s">
        <v>70</v>
      </c>
      <c r="G967" s="37" t="s">
        <v>117</v>
      </c>
      <c r="H967" s="37"/>
      <c r="I967" s="37"/>
      <c r="J967" s="37"/>
      <c r="K967" s="6">
        <f>SUM(K968)</f>
        <v>173.8</v>
      </c>
    </row>
    <row r="968" spans="1:11" s="26" customFormat="1" ht="78" customHeight="1" x14ac:dyDescent="0.25">
      <c r="A968" s="104"/>
      <c r="B968" s="1" t="s">
        <v>518</v>
      </c>
      <c r="C968" s="2">
        <v>925</v>
      </c>
      <c r="D968" s="39" t="s">
        <v>8</v>
      </c>
      <c r="E968" s="39" t="s">
        <v>24</v>
      </c>
      <c r="F968" s="37" t="s">
        <v>70</v>
      </c>
      <c r="G968" s="37" t="s">
        <v>117</v>
      </c>
      <c r="H968" s="37" t="s">
        <v>2</v>
      </c>
      <c r="I968" s="37"/>
      <c r="J968" s="37"/>
      <c r="K968" s="6">
        <f>SUM(K969)</f>
        <v>173.8</v>
      </c>
    </row>
    <row r="969" spans="1:11" s="26" customFormat="1" ht="46.8" x14ac:dyDescent="0.25">
      <c r="A969" s="104"/>
      <c r="B969" s="1" t="s">
        <v>519</v>
      </c>
      <c r="C969" s="2">
        <v>925</v>
      </c>
      <c r="D969" s="39" t="s">
        <v>8</v>
      </c>
      <c r="E969" s="39" t="s">
        <v>24</v>
      </c>
      <c r="F969" s="37" t="s">
        <v>70</v>
      </c>
      <c r="G969" s="37" t="s">
        <v>117</v>
      </c>
      <c r="H969" s="37" t="s">
        <v>2</v>
      </c>
      <c r="I969" s="37" t="s">
        <v>156</v>
      </c>
      <c r="J969" s="37"/>
      <c r="K969" s="6">
        <f>SUM(K970)</f>
        <v>173.8</v>
      </c>
    </row>
    <row r="970" spans="1:11" s="26" customFormat="1" ht="31.2" x14ac:dyDescent="0.25">
      <c r="A970" s="104"/>
      <c r="B970" s="1" t="s">
        <v>123</v>
      </c>
      <c r="C970" s="2">
        <v>925</v>
      </c>
      <c r="D970" s="39" t="s">
        <v>8</v>
      </c>
      <c r="E970" s="39" t="s">
        <v>24</v>
      </c>
      <c r="F970" s="37" t="s">
        <v>70</v>
      </c>
      <c r="G970" s="37" t="s">
        <v>117</v>
      </c>
      <c r="H970" s="37" t="s">
        <v>2</v>
      </c>
      <c r="I970" s="37" t="s">
        <v>156</v>
      </c>
      <c r="J970" s="37" t="s">
        <v>49</v>
      </c>
      <c r="K970" s="6">
        <v>173.8</v>
      </c>
    </row>
    <row r="971" spans="1:11" s="26" customFormat="1" x14ac:dyDescent="0.25">
      <c r="A971" s="104"/>
      <c r="B971" s="1" t="s">
        <v>20</v>
      </c>
      <c r="C971" s="2">
        <v>925</v>
      </c>
      <c r="D971" s="39" t="s">
        <v>21</v>
      </c>
      <c r="E971" s="39"/>
      <c r="F971" s="39"/>
      <c r="G971" s="2"/>
      <c r="H971" s="39"/>
      <c r="I971" s="39"/>
      <c r="J971" s="39"/>
      <c r="K971" s="6">
        <f t="shared" ref="K971:K975" si="43">SUM(K972)</f>
        <v>13909.8</v>
      </c>
    </row>
    <row r="972" spans="1:11" s="26" customFormat="1" x14ac:dyDescent="0.25">
      <c r="A972" s="104"/>
      <c r="B972" s="1" t="s">
        <v>29</v>
      </c>
      <c r="C972" s="2">
        <v>925</v>
      </c>
      <c r="D972" s="39" t="s">
        <v>21</v>
      </c>
      <c r="E972" s="39" t="s">
        <v>6</v>
      </c>
      <c r="F972" s="39"/>
      <c r="G972" s="2"/>
      <c r="H972" s="39"/>
      <c r="I972" s="39"/>
      <c r="J972" s="39"/>
      <c r="K972" s="6">
        <f t="shared" si="43"/>
        <v>13909.8</v>
      </c>
    </row>
    <row r="973" spans="1:11" s="26" customFormat="1" x14ac:dyDescent="0.25">
      <c r="A973" s="104"/>
      <c r="B973" s="1" t="s">
        <v>385</v>
      </c>
      <c r="C973" s="2">
        <v>925</v>
      </c>
      <c r="D973" s="39" t="s">
        <v>21</v>
      </c>
      <c r="E973" s="39" t="s">
        <v>6</v>
      </c>
      <c r="F973" s="39" t="s">
        <v>2</v>
      </c>
      <c r="G973" s="2"/>
      <c r="H973" s="39"/>
      <c r="I973" s="39"/>
      <c r="J973" s="39"/>
      <c r="K973" s="6">
        <f t="shared" si="43"/>
        <v>13909.8</v>
      </c>
    </row>
    <row r="974" spans="1:11" s="26" customFormat="1" ht="16.5" customHeight="1" x14ac:dyDescent="0.25">
      <c r="A974" s="104"/>
      <c r="B974" s="40" t="s">
        <v>386</v>
      </c>
      <c r="C974" s="2">
        <v>925</v>
      </c>
      <c r="D974" s="39" t="s">
        <v>21</v>
      </c>
      <c r="E974" s="39" t="s">
        <v>6</v>
      </c>
      <c r="F974" s="39" t="s">
        <v>2</v>
      </c>
      <c r="G974" s="2">
        <v>1</v>
      </c>
      <c r="H974" s="39"/>
      <c r="I974" s="39"/>
      <c r="J974" s="39"/>
      <c r="K974" s="6">
        <f t="shared" si="43"/>
        <v>13909.8</v>
      </c>
    </row>
    <row r="975" spans="1:11" s="26" customFormat="1" ht="47.25" customHeight="1" x14ac:dyDescent="0.25">
      <c r="A975" s="104"/>
      <c r="B975" s="40" t="s">
        <v>108</v>
      </c>
      <c r="C975" s="2">
        <v>925</v>
      </c>
      <c r="D975" s="39" t="s">
        <v>21</v>
      </c>
      <c r="E975" s="39" t="s">
        <v>6</v>
      </c>
      <c r="F975" s="39" t="s">
        <v>2</v>
      </c>
      <c r="G975" s="2">
        <v>1</v>
      </c>
      <c r="H975" s="39" t="s">
        <v>4</v>
      </c>
      <c r="I975" s="39"/>
      <c r="J975" s="39"/>
      <c r="K975" s="6">
        <f t="shared" si="43"/>
        <v>13909.8</v>
      </c>
    </row>
    <row r="976" spans="1:11" s="26" customFormat="1" ht="62.4" x14ac:dyDescent="0.25">
      <c r="A976" s="104"/>
      <c r="B976" s="40" t="s">
        <v>201</v>
      </c>
      <c r="C976" s="2">
        <v>925</v>
      </c>
      <c r="D976" s="39" t="s">
        <v>21</v>
      </c>
      <c r="E976" s="39" t="s">
        <v>6</v>
      </c>
      <c r="F976" s="39" t="s">
        <v>2</v>
      </c>
      <c r="G976" s="2">
        <v>1</v>
      </c>
      <c r="H976" s="39" t="s">
        <v>4</v>
      </c>
      <c r="I976" s="39" t="s">
        <v>116</v>
      </c>
      <c r="J976" s="39"/>
      <c r="K976" s="6">
        <f>SUM(K977:K978)</f>
        <v>13909.8</v>
      </c>
    </row>
    <row r="977" spans="1:12" s="26" customFormat="1" ht="31.2" x14ac:dyDescent="0.25">
      <c r="A977" s="104"/>
      <c r="B977" s="1" t="s">
        <v>123</v>
      </c>
      <c r="C977" s="2">
        <v>925</v>
      </c>
      <c r="D977" s="39" t="s">
        <v>21</v>
      </c>
      <c r="E977" s="39" t="s">
        <v>6</v>
      </c>
      <c r="F977" s="39" t="s">
        <v>2</v>
      </c>
      <c r="G977" s="2">
        <v>1</v>
      </c>
      <c r="H977" s="39" t="s">
        <v>4</v>
      </c>
      <c r="I977" s="39" t="s">
        <v>116</v>
      </c>
      <c r="J977" s="39" t="s">
        <v>49</v>
      </c>
      <c r="K977" s="6">
        <v>153.5</v>
      </c>
    </row>
    <row r="978" spans="1:12" s="26" customFormat="1" x14ac:dyDescent="0.25">
      <c r="A978" s="105"/>
      <c r="B978" s="1" t="s">
        <v>55</v>
      </c>
      <c r="C978" s="2">
        <v>925</v>
      </c>
      <c r="D978" s="39" t="s">
        <v>21</v>
      </c>
      <c r="E978" s="39" t="s">
        <v>6</v>
      </c>
      <c r="F978" s="39" t="s">
        <v>2</v>
      </c>
      <c r="G978" s="2">
        <v>1</v>
      </c>
      <c r="H978" s="39" t="s">
        <v>4</v>
      </c>
      <c r="I978" s="39" t="s">
        <v>116</v>
      </c>
      <c r="J978" s="39" t="s">
        <v>56</v>
      </c>
      <c r="K978" s="6">
        <f>15119.3-1363</f>
        <v>13756.3</v>
      </c>
    </row>
    <row r="979" spans="1:12" s="26" customFormat="1" ht="31.2" x14ac:dyDescent="0.25">
      <c r="A979" s="93">
        <v>10</v>
      </c>
      <c r="B979" s="1" t="s">
        <v>394</v>
      </c>
      <c r="C979" s="2">
        <v>926</v>
      </c>
      <c r="D979" s="39"/>
      <c r="E979" s="39"/>
      <c r="F979" s="39"/>
      <c r="G979" s="2"/>
      <c r="H979" s="39"/>
      <c r="I979" s="39"/>
      <c r="J979" s="39"/>
      <c r="K979" s="6">
        <f>SUM(K980+K987+K1036)</f>
        <v>974136.70000000019</v>
      </c>
    </row>
    <row r="980" spans="1:12" s="26" customFormat="1" x14ac:dyDescent="0.25">
      <c r="A980" s="93"/>
      <c r="B980" s="1" t="s">
        <v>14</v>
      </c>
      <c r="C980" s="2">
        <v>926</v>
      </c>
      <c r="D980" s="39" t="s">
        <v>5</v>
      </c>
      <c r="E980" s="39"/>
      <c r="F980" s="39"/>
      <c r="G980" s="2"/>
      <c r="H980" s="39"/>
      <c r="I980" s="39"/>
      <c r="J980" s="39"/>
      <c r="K980" s="6">
        <f t="shared" ref="K980:K985" si="44">K981</f>
        <v>68.400000000000006</v>
      </c>
    </row>
    <row r="981" spans="1:12" s="26" customFormat="1" ht="31.2" x14ac:dyDescent="0.25">
      <c r="A981" s="93"/>
      <c r="B981" s="1" t="s">
        <v>130</v>
      </c>
      <c r="C981" s="2">
        <v>926</v>
      </c>
      <c r="D981" s="39" t="s">
        <v>5</v>
      </c>
      <c r="E981" s="37" t="s">
        <v>10</v>
      </c>
      <c r="F981" s="37"/>
      <c r="G981" s="38"/>
      <c r="H981" s="37"/>
      <c r="I981" s="37"/>
      <c r="J981" s="39"/>
      <c r="K981" s="6">
        <f t="shared" si="44"/>
        <v>68.400000000000006</v>
      </c>
    </row>
    <row r="982" spans="1:12" s="26" customFormat="1" x14ac:dyDescent="0.25">
      <c r="A982" s="93"/>
      <c r="B982" s="40" t="s">
        <v>352</v>
      </c>
      <c r="C982" s="2">
        <v>926</v>
      </c>
      <c r="D982" s="37" t="s">
        <v>5</v>
      </c>
      <c r="E982" s="37" t="s">
        <v>10</v>
      </c>
      <c r="F982" s="37" t="s">
        <v>83</v>
      </c>
      <c r="G982" s="37"/>
      <c r="H982" s="37"/>
      <c r="I982" s="37"/>
      <c r="J982" s="39"/>
      <c r="K982" s="6">
        <f t="shared" si="44"/>
        <v>68.400000000000006</v>
      </c>
    </row>
    <row r="983" spans="1:12" s="26" customFormat="1" ht="46.8" x14ac:dyDescent="0.25">
      <c r="A983" s="93"/>
      <c r="B983" s="40" t="s">
        <v>353</v>
      </c>
      <c r="C983" s="2">
        <v>926</v>
      </c>
      <c r="D983" s="37" t="s">
        <v>5</v>
      </c>
      <c r="E983" s="37" t="s">
        <v>10</v>
      </c>
      <c r="F983" s="37" t="s">
        <v>83</v>
      </c>
      <c r="G983" s="37" t="s">
        <v>117</v>
      </c>
      <c r="H983" s="37"/>
      <c r="I983" s="37"/>
      <c r="J983" s="39"/>
      <c r="K983" s="6">
        <f t="shared" si="44"/>
        <v>68.400000000000006</v>
      </c>
    </row>
    <row r="984" spans="1:12" s="26" customFormat="1" ht="46.8" x14ac:dyDescent="0.25">
      <c r="A984" s="93"/>
      <c r="B984" s="40" t="s">
        <v>131</v>
      </c>
      <c r="C984" s="2">
        <v>926</v>
      </c>
      <c r="D984" s="37" t="s">
        <v>5</v>
      </c>
      <c r="E984" s="37" t="s">
        <v>10</v>
      </c>
      <c r="F984" s="37" t="s">
        <v>83</v>
      </c>
      <c r="G984" s="37" t="s">
        <v>117</v>
      </c>
      <c r="H984" s="37" t="s">
        <v>2</v>
      </c>
      <c r="I984" s="37"/>
      <c r="J984" s="39"/>
      <c r="K984" s="6">
        <f t="shared" si="44"/>
        <v>68.400000000000006</v>
      </c>
    </row>
    <row r="985" spans="1:12" s="26" customFormat="1" ht="31.2" x14ac:dyDescent="0.25">
      <c r="A985" s="93"/>
      <c r="B985" s="40" t="s">
        <v>133</v>
      </c>
      <c r="C985" s="2">
        <v>926</v>
      </c>
      <c r="D985" s="37" t="s">
        <v>5</v>
      </c>
      <c r="E985" s="37" t="s">
        <v>10</v>
      </c>
      <c r="F985" s="37" t="s">
        <v>83</v>
      </c>
      <c r="G985" s="37" t="s">
        <v>117</v>
      </c>
      <c r="H985" s="37" t="s">
        <v>2</v>
      </c>
      <c r="I985" s="37" t="s">
        <v>136</v>
      </c>
      <c r="J985" s="39"/>
      <c r="K985" s="6">
        <f t="shared" si="44"/>
        <v>68.400000000000006</v>
      </c>
    </row>
    <row r="986" spans="1:12" s="26" customFormat="1" ht="31.2" x14ac:dyDescent="0.25">
      <c r="A986" s="93"/>
      <c r="B986" s="1" t="s">
        <v>123</v>
      </c>
      <c r="C986" s="2">
        <v>926</v>
      </c>
      <c r="D986" s="37" t="s">
        <v>5</v>
      </c>
      <c r="E986" s="37" t="s">
        <v>10</v>
      </c>
      <c r="F986" s="37" t="s">
        <v>83</v>
      </c>
      <c r="G986" s="37" t="s">
        <v>117</v>
      </c>
      <c r="H986" s="37" t="s">
        <v>2</v>
      </c>
      <c r="I986" s="37" t="s">
        <v>136</v>
      </c>
      <c r="J986" s="39" t="s">
        <v>49</v>
      </c>
      <c r="K986" s="6">
        <v>68.400000000000006</v>
      </c>
    </row>
    <row r="987" spans="1:12" s="26" customFormat="1" x14ac:dyDescent="0.25">
      <c r="A987" s="93"/>
      <c r="B987" s="1" t="s">
        <v>18</v>
      </c>
      <c r="C987" s="2">
        <v>926</v>
      </c>
      <c r="D987" s="37" t="s">
        <v>8</v>
      </c>
      <c r="E987" s="39"/>
      <c r="F987" s="39"/>
      <c r="G987" s="2"/>
      <c r="H987" s="39"/>
      <c r="I987" s="39"/>
      <c r="J987" s="39"/>
      <c r="K987" s="6">
        <f>SUM(K988+K1030)</f>
        <v>185964.3</v>
      </c>
    </row>
    <row r="988" spans="1:12" s="26" customFormat="1" x14ac:dyDescent="0.25">
      <c r="A988" s="93"/>
      <c r="B988" s="1" t="s">
        <v>146</v>
      </c>
      <c r="C988" s="2">
        <v>926</v>
      </c>
      <c r="D988" s="39" t="s">
        <v>8</v>
      </c>
      <c r="E988" s="39" t="s">
        <v>5</v>
      </c>
      <c r="F988" s="39"/>
      <c r="G988" s="2"/>
      <c r="H988" s="39"/>
      <c r="I988" s="39"/>
      <c r="J988" s="39"/>
      <c r="K988" s="6">
        <f>SUM(K989+K1016+K1025)</f>
        <v>185907</v>
      </c>
    </row>
    <row r="989" spans="1:12" s="26" customFormat="1" x14ac:dyDescent="0.25">
      <c r="A989" s="93"/>
      <c r="B989" s="40" t="s">
        <v>395</v>
      </c>
      <c r="C989" s="2">
        <v>926</v>
      </c>
      <c r="D989" s="39" t="s">
        <v>8</v>
      </c>
      <c r="E989" s="39" t="s">
        <v>5</v>
      </c>
      <c r="F989" s="39" t="s">
        <v>6</v>
      </c>
      <c r="G989" s="2"/>
      <c r="H989" s="39"/>
      <c r="I989" s="39"/>
      <c r="J989" s="39"/>
      <c r="K989" s="6">
        <f>SUM(K990)</f>
        <v>178978.7</v>
      </c>
      <c r="L989" s="26">
        <v>176847.6</v>
      </c>
    </row>
    <row r="990" spans="1:12" s="26" customFormat="1" x14ac:dyDescent="0.25">
      <c r="A990" s="93"/>
      <c r="B990" s="40" t="s">
        <v>396</v>
      </c>
      <c r="C990" s="2">
        <v>926</v>
      </c>
      <c r="D990" s="39" t="s">
        <v>8</v>
      </c>
      <c r="E990" s="39" t="s">
        <v>5</v>
      </c>
      <c r="F990" s="39" t="s">
        <v>6</v>
      </c>
      <c r="G990" s="2">
        <v>1</v>
      </c>
      <c r="H990" s="39"/>
      <c r="I990" s="39"/>
      <c r="J990" s="39"/>
      <c r="K990" s="6">
        <f>SUM(K991+K994+K999+K1004+K1007)</f>
        <v>178978.7</v>
      </c>
    </row>
    <row r="991" spans="1:12" s="26" customFormat="1" ht="31.2" x14ac:dyDescent="0.25">
      <c r="A991" s="93"/>
      <c r="B991" s="40" t="s">
        <v>435</v>
      </c>
      <c r="C991" s="2">
        <v>926</v>
      </c>
      <c r="D991" s="39" t="s">
        <v>8</v>
      </c>
      <c r="E991" s="39" t="s">
        <v>5</v>
      </c>
      <c r="F991" s="37" t="s">
        <v>6</v>
      </c>
      <c r="G991" s="37" t="s">
        <v>90</v>
      </c>
      <c r="H991" s="37" t="s">
        <v>4</v>
      </c>
      <c r="I991" s="39"/>
      <c r="J991" s="39"/>
      <c r="K991" s="6">
        <f>SUM(K992)</f>
        <v>77.099999999999994</v>
      </c>
    </row>
    <row r="992" spans="1:12" s="26" customFormat="1" ht="93.6" x14ac:dyDescent="0.25">
      <c r="A992" s="93"/>
      <c r="B992" s="57" t="s">
        <v>199</v>
      </c>
      <c r="C992" s="2">
        <v>926</v>
      </c>
      <c r="D992" s="39" t="s">
        <v>8</v>
      </c>
      <c r="E992" s="39" t="s">
        <v>5</v>
      </c>
      <c r="F992" s="39" t="s">
        <v>6</v>
      </c>
      <c r="G992" s="37" t="s">
        <v>90</v>
      </c>
      <c r="H992" s="37" t="s">
        <v>4</v>
      </c>
      <c r="I992" s="39" t="s">
        <v>107</v>
      </c>
      <c r="J992" s="39"/>
      <c r="K992" s="6">
        <f>SUM(K993)</f>
        <v>77.099999999999994</v>
      </c>
    </row>
    <row r="993" spans="1:11" s="26" customFormat="1" ht="31.2" x14ac:dyDescent="0.25">
      <c r="A993" s="93"/>
      <c r="B993" s="3" t="s">
        <v>121</v>
      </c>
      <c r="C993" s="2">
        <v>926</v>
      </c>
      <c r="D993" s="39" t="s">
        <v>8</v>
      </c>
      <c r="E993" s="39" t="s">
        <v>5</v>
      </c>
      <c r="F993" s="39" t="s">
        <v>6</v>
      </c>
      <c r="G993" s="37" t="s">
        <v>90</v>
      </c>
      <c r="H993" s="37" t="s">
        <v>4</v>
      </c>
      <c r="I993" s="39" t="s">
        <v>107</v>
      </c>
      <c r="J993" s="39" t="s">
        <v>59</v>
      </c>
      <c r="K993" s="6">
        <v>77.099999999999994</v>
      </c>
    </row>
    <row r="994" spans="1:11" s="26" customFormat="1" ht="31.2" x14ac:dyDescent="0.25">
      <c r="A994" s="93"/>
      <c r="B994" s="40" t="s">
        <v>435</v>
      </c>
      <c r="C994" s="2">
        <v>926</v>
      </c>
      <c r="D994" s="39" t="s">
        <v>8</v>
      </c>
      <c r="E994" s="39" t="s">
        <v>5</v>
      </c>
      <c r="F994" s="39" t="s">
        <v>6</v>
      </c>
      <c r="G994" s="2">
        <v>1</v>
      </c>
      <c r="H994" s="39" t="s">
        <v>4</v>
      </c>
      <c r="I994" s="39"/>
      <c r="J994" s="39"/>
      <c r="K994" s="6">
        <f>SUM(K995+K997)</f>
        <v>170048.30000000002</v>
      </c>
    </row>
    <row r="995" spans="1:11" s="26" customFormat="1" ht="46.8" x14ac:dyDescent="0.25">
      <c r="A995" s="93"/>
      <c r="B995" s="1" t="s">
        <v>66</v>
      </c>
      <c r="C995" s="2">
        <v>926</v>
      </c>
      <c r="D995" s="39" t="s">
        <v>8</v>
      </c>
      <c r="E995" s="39" t="s">
        <v>5</v>
      </c>
      <c r="F995" s="39" t="s">
        <v>6</v>
      </c>
      <c r="G995" s="2">
        <v>1</v>
      </c>
      <c r="H995" s="39" t="s">
        <v>4</v>
      </c>
      <c r="I995" s="39" t="s">
        <v>85</v>
      </c>
      <c r="J995" s="39"/>
      <c r="K995" s="6">
        <f t="shared" ref="K995" si="45">SUM(K996)</f>
        <v>169851.2</v>
      </c>
    </row>
    <row r="996" spans="1:11" s="26" customFormat="1" ht="31.2" x14ac:dyDescent="0.25">
      <c r="A996" s="93"/>
      <c r="B996" s="43" t="s">
        <v>121</v>
      </c>
      <c r="C996" s="2">
        <v>926</v>
      </c>
      <c r="D996" s="39" t="s">
        <v>8</v>
      </c>
      <c r="E996" s="39" t="s">
        <v>5</v>
      </c>
      <c r="F996" s="39" t="s">
        <v>6</v>
      </c>
      <c r="G996" s="2">
        <v>1</v>
      </c>
      <c r="H996" s="39" t="s">
        <v>4</v>
      </c>
      <c r="I996" s="39" t="s">
        <v>85</v>
      </c>
      <c r="J996" s="39" t="s">
        <v>59</v>
      </c>
      <c r="K996" s="6">
        <v>169851.2</v>
      </c>
    </row>
    <row r="997" spans="1:11" s="26" customFormat="1" ht="78" x14ac:dyDescent="0.25">
      <c r="A997" s="93"/>
      <c r="B997" s="1" t="s">
        <v>290</v>
      </c>
      <c r="C997" s="2">
        <v>926</v>
      </c>
      <c r="D997" s="39" t="s">
        <v>8</v>
      </c>
      <c r="E997" s="39" t="s">
        <v>5</v>
      </c>
      <c r="F997" s="39" t="s">
        <v>6</v>
      </c>
      <c r="G997" s="2">
        <v>1</v>
      </c>
      <c r="H997" s="39" t="s">
        <v>4</v>
      </c>
      <c r="I997" s="39" t="s">
        <v>291</v>
      </c>
      <c r="J997" s="39"/>
      <c r="K997" s="6">
        <f>K998</f>
        <v>197.1</v>
      </c>
    </row>
    <row r="998" spans="1:11" s="26" customFormat="1" ht="31.2" x14ac:dyDescent="0.25">
      <c r="A998" s="93"/>
      <c r="B998" s="43" t="s">
        <v>121</v>
      </c>
      <c r="C998" s="2">
        <v>926</v>
      </c>
      <c r="D998" s="39" t="s">
        <v>8</v>
      </c>
      <c r="E998" s="39" t="s">
        <v>5</v>
      </c>
      <c r="F998" s="39" t="s">
        <v>6</v>
      </c>
      <c r="G998" s="2">
        <v>1</v>
      </c>
      <c r="H998" s="39" t="s">
        <v>4</v>
      </c>
      <c r="I998" s="39" t="s">
        <v>291</v>
      </c>
      <c r="J998" s="39" t="s">
        <v>59</v>
      </c>
      <c r="K998" s="6">
        <v>197.1</v>
      </c>
    </row>
    <row r="999" spans="1:11" s="26" customFormat="1" ht="78" x14ac:dyDescent="0.25">
      <c r="A999" s="93"/>
      <c r="B999" s="1" t="s">
        <v>457</v>
      </c>
      <c r="C999" s="2">
        <v>926</v>
      </c>
      <c r="D999" s="39" t="s">
        <v>8</v>
      </c>
      <c r="E999" s="39" t="s">
        <v>5</v>
      </c>
      <c r="F999" s="39" t="s">
        <v>6</v>
      </c>
      <c r="G999" s="2">
        <v>1</v>
      </c>
      <c r="H999" s="39" t="s">
        <v>5</v>
      </c>
      <c r="I999" s="39"/>
      <c r="J999" s="39"/>
      <c r="K999" s="6">
        <f>K1000+K1002</f>
        <v>1047.9000000000001</v>
      </c>
    </row>
    <row r="1000" spans="1:11" s="26" customFormat="1" x14ac:dyDescent="0.25">
      <c r="A1000" s="93"/>
      <c r="B1000" s="40" t="s">
        <v>305</v>
      </c>
      <c r="C1000" s="78">
        <v>926</v>
      </c>
      <c r="D1000" s="77" t="s">
        <v>8</v>
      </c>
      <c r="E1000" s="77" t="s">
        <v>5</v>
      </c>
      <c r="F1000" s="77" t="s">
        <v>6</v>
      </c>
      <c r="G1000" s="78">
        <v>1</v>
      </c>
      <c r="H1000" s="77" t="s">
        <v>5</v>
      </c>
      <c r="I1000" s="77" t="s">
        <v>306</v>
      </c>
      <c r="J1000" s="77"/>
      <c r="K1000" s="6">
        <f>SUM(K1001)</f>
        <v>111.9</v>
      </c>
    </row>
    <row r="1001" spans="1:11" s="26" customFormat="1" ht="31.2" x14ac:dyDescent="0.25">
      <c r="A1001" s="93"/>
      <c r="B1001" s="43" t="s">
        <v>121</v>
      </c>
      <c r="C1001" s="78">
        <v>926</v>
      </c>
      <c r="D1001" s="77" t="s">
        <v>8</v>
      </c>
      <c r="E1001" s="77" t="s">
        <v>5</v>
      </c>
      <c r="F1001" s="77" t="s">
        <v>6</v>
      </c>
      <c r="G1001" s="78">
        <v>1</v>
      </c>
      <c r="H1001" s="77" t="s">
        <v>5</v>
      </c>
      <c r="I1001" s="77" t="s">
        <v>306</v>
      </c>
      <c r="J1001" s="77" t="s">
        <v>59</v>
      </c>
      <c r="K1001" s="6">
        <f>223.9-223.9+111.9</f>
        <v>111.9</v>
      </c>
    </row>
    <row r="1002" spans="1:11" s="26" customFormat="1" ht="46.8" x14ac:dyDescent="0.25">
      <c r="A1002" s="93"/>
      <c r="B1002" s="54" t="s">
        <v>169</v>
      </c>
      <c r="C1002" s="2">
        <v>926</v>
      </c>
      <c r="D1002" s="39" t="s">
        <v>8</v>
      </c>
      <c r="E1002" s="39" t="s">
        <v>5</v>
      </c>
      <c r="F1002" s="39" t="s">
        <v>6</v>
      </c>
      <c r="G1002" s="2">
        <v>1</v>
      </c>
      <c r="H1002" s="39" t="s">
        <v>5</v>
      </c>
      <c r="I1002" s="39" t="s">
        <v>144</v>
      </c>
      <c r="J1002" s="39"/>
      <c r="K1002" s="6">
        <f>SUM(K1003)</f>
        <v>936</v>
      </c>
    </row>
    <row r="1003" spans="1:11" s="26" customFormat="1" ht="31.2" x14ac:dyDescent="0.25">
      <c r="A1003" s="93"/>
      <c r="B1003" s="43" t="s">
        <v>121</v>
      </c>
      <c r="C1003" s="2">
        <v>926</v>
      </c>
      <c r="D1003" s="39" t="s">
        <v>8</v>
      </c>
      <c r="E1003" s="39" t="s">
        <v>5</v>
      </c>
      <c r="F1003" s="39" t="s">
        <v>6</v>
      </c>
      <c r="G1003" s="2">
        <v>1</v>
      </c>
      <c r="H1003" s="39" t="s">
        <v>5</v>
      </c>
      <c r="I1003" s="39" t="s">
        <v>144</v>
      </c>
      <c r="J1003" s="39" t="s">
        <v>59</v>
      </c>
      <c r="K1003" s="6">
        <f>444+444+36+12</f>
        <v>936</v>
      </c>
    </row>
    <row r="1004" spans="1:11" s="26" customFormat="1" ht="147" customHeight="1" x14ac:dyDescent="0.25">
      <c r="A1004" s="93"/>
      <c r="B1004" s="3" t="s">
        <v>458</v>
      </c>
      <c r="C1004" s="2">
        <v>926</v>
      </c>
      <c r="D1004" s="39" t="s">
        <v>8</v>
      </c>
      <c r="E1004" s="39" t="s">
        <v>5</v>
      </c>
      <c r="F1004" s="39" t="s">
        <v>6</v>
      </c>
      <c r="G1004" s="2">
        <v>1</v>
      </c>
      <c r="H1004" s="39" t="s">
        <v>6</v>
      </c>
      <c r="I1004" s="39"/>
      <c r="J1004" s="39"/>
      <c r="K1004" s="6">
        <f>SUM(K1005)</f>
        <v>857.99999999999977</v>
      </c>
    </row>
    <row r="1005" spans="1:11" s="26" customFormat="1" x14ac:dyDescent="0.25">
      <c r="A1005" s="93"/>
      <c r="B1005" s="1" t="s">
        <v>459</v>
      </c>
      <c r="C1005" s="2">
        <v>926</v>
      </c>
      <c r="D1005" s="39" t="s">
        <v>8</v>
      </c>
      <c r="E1005" s="39" t="s">
        <v>5</v>
      </c>
      <c r="F1005" s="39" t="s">
        <v>6</v>
      </c>
      <c r="G1005" s="2">
        <v>1</v>
      </c>
      <c r="H1005" s="39" t="s">
        <v>6</v>
      </c>
      <c r="I1005" s="39" t="s">
        <v>185</v>
      </c>
      <c r="J1005" s="39"/>
      <c r="K1005" s="6">
        <f>SUM(K1006)</f>
        <v>857.99999999999977</v>
      </c>
    </row>
    <row r="1006" spans="1:11" s="26" customFormat="1" ht="31.2" x14ac:dyDescent="0.25">
      <c r="A1006" s="93"/>
      <c r="B1006" s="43" t="s">
        <v>121</v>
      </c>
      <c r="C1006" s="2">
        <v>926</v>
      </c>
      <c r="D1006" s="39" t="s">
        <v>8</v>
      </c>
      <c r="E1006" s="39" t="s">
        <v>5</v>
      </c>
      <c r="F1006" s="39" t="s">
        <v>6</v>
      </c>
      <c r="G1006" s="2">
        <v>1</v>
      </c>
      <c r="H1006" s="39" t="s">
        <v>6</v>
      </c>
      <c r="I1006" s="39" t="s">
        <v>185</v>
      </c>
      <c r="J1006" s="39" t="s">
        <v>59</v>
      </c>
      <c r="K1006" s="6">
        <f>385.5+159.3+471.9+100-258.7</f>
        <v>857.99999999999977</v>
      </c>
    </row>
    <row r="1007" spans="1:11" s="26" customFormat="1" ht="31.2" x14ac:dyDescent="0.25">
      <c r="A1007" s="93"/>
      <c r="B1007" s="40" t="s">
        <v>439</v>
      </c>
      <c r="C1007" s="2">
        <v>926</v>
      </c>
      <c r="D1007" s="39" t="s">
        <v>8</v>
      </c>
      <c r="E1007" s="39" t="s">
        <v>5</v>
      </c>
      <c r="F1007" s="39" t="s">
        <v>6</v>
      </c>
      <c r="G1007" s="2">
        <v>1</v>
      </c>
      <c r="H1007" s="39" t="s">
        <v>7</v>
      </c>
      <c r="I1007" s="39"/>
      <c r="J1007" s="39"/>
      <c r="K1007" s="6">
        <f>SUM(K1008+K1012+K1014+K1010)</f>
        <v>6947.4000000000005</v>
      </c>
    </row>
    <row r="1008" spans="1:11" s="26" customFormat="1" ht="31.2" x14ac:dyDescent="0.25">
      <c r="A1008" s="93"/>
      <c r="B1008" s="1" t="s">
        <v>588</v>
      </c>
      <c r="C1008" s="2">
        <v>926</v>
      </c>
      <c r="D1008" s="39" t="s">
        <v>8</v>
      </c>
      <c r="E1008" s="39" t="s">
        <v>5</v>
      </c>
      <c r="F1008" s="37" t="s">
        <v>6</v>
      </c>
      <c r="G1008" s="37" t="s">
        <v>90</v>
      </c>
      <c r="H1008" s="39" t="s">
        <v>7</v>
      </c>
      <c r="I1008" s="37" t="s">
        <v>503</v>
      </c>
      <c r="J1008" s="39"/>
      <c r="K1008" s="6">
        <f>K1009</f>
        <v>1220.5</v>
      </c>
    </row>
    <row r="1009" spans="1:12" s="26" customFormat="1" ht="31.2" x14ac:dyDescent="0.25">
      <c r="A1009" s="93"/>
      <c r="B1009" s="43" t="s">
        <v>121</v>
      </c>
      <c r="C1009" s="2">
        <v>926</v>
      </c>
      <c r="D1009" s="39" t="s">
        <v>8</v>
      </c>
      <c r="E1009" s="39" t="s">
        <v>5</v>
      </c>
      <c r="F1009" s="37" t="s">
        <v>6</v>
      </c>
      <c r="G1009" s="37" t="s">
        <v>90</v>
      </c>
      <c r="H1009" s="39" t="s">
        <v>7</v>
      </c>
      <c r="I1009" s="37" t="s">
        <v>503</v>
      </c>
      <c r="J1009" s="39" t="s">
        <v>59</v>
      </c>
      <c r="K1009" s="6">
        <f>907.3+(313.2)</f>
        <v>1220.5</v>
      </c>
    </row>
    <row r="1010" spans="1:12" s="26" customFormat="1" x14ac:dyDescent="0.25">
      <c r="A1010" s="93"/>
      <c r="B1010" s="1" t="s">
        <v>459</v>
      </c>
      <c r="C1010" s="80">
        <v>926</v>
      </c>
      <c r="D1010" s="81" t="s">
        <v>8</v>
      </c>
      <c r="E1010" s="81" t="s">
        <v>5</v>
      </c>
      <c r="F1010" s="37" t="s">
        <v>6</v>
      </c>
      <c r="G1010" s="37" t="s">
        <v>90</v>
      </c>
      <c r="H1010" s="81" t="s">
        <v>7</v>
      </c>
      <c r="I1010" s="37" t="s">
        <v>185</v>
      </c>
      <c r="J1010" s="81"/>
      <c r="K1010" s="6">
        <f>K1011</f>
        <v>198.3</v>
      </c>
    </row>
    <row r="1011" spans="1:12" s="26" customFormat="1" ht="31.2" x14ac:dyDescent="0.25">
      <c r="A1011" s="93"/>
      <c r="B1011" s="43" t="s">
        <v>121</v>
      </c>
      <c r="C1011" s="80">
        <v>926</v>
      </c>
      <c r="D1011" s="81" t="s">
        <v>8</v>
      </c>
      <c r="E1011" s="81" t="s">
        <v>5</v>
      </c>
      <c r="F1011" s="37" t="s">
        <v>6</v>
      </c>
      <c r="G1011" s="37" t="s">
        <v>90</v>
      </c>
      <c r="H1011" s="81" t="s">
        <v>7</v>
      </c>
      <c r="I1011" s="37" t="s">
        <v>185</v>
      </c>
      <c r="J1011" s="81" t="s">
        <v>59</v>
      </c>
      <c r="K1011" s="6">
        <v>198.3</v>
      </c>
      <c r="L1011" s="26" t="s">
        <v>633</v>
      </c>
    </row>
    <row r="1012" spans="1:12" s="26" customFormat="1" ht="99.75" customHeight="1" x14ac:dyDescent="0.25">
      <c r="A1012" s="93"/>
      <c r="B1012" s="1" t="s">
        <v>298</v>
      </c>
      <c r="C1012" s="2">
        <v>926</v>
      </c>
      <c r="D1012" s="39" t="s">
        <v>8</v>
      </c>
      <c r="E1012" s="39" t="s">
        <v>5</v>
      </c>
      <c r="F1012" s="39" t="s">
        <v>6</v>
      </c>
      <c r="G1012" s="2">
        <v>1</v>
      </c>
      <c r="H1012" s="39" t="s">
        <v>7</v>
      </c>
      <c r="I1012" s="39" t="s">
        <v>297</v>
      </c>
      <c r="J1012" s="39"/>
      <c r="K1012" s="6">
        <f>SUM(K1013)</f>
        <v>5409.8</v>
      </c>
    </row>
    <row r="1013" spans="1:12" s="26" customFormat="1" ht="31.2" x14ac:dyDescent="0.25">
      <c r="A1013" s="93"/>
      <c r="B1013" s="43" t="s">
        <v>121</v>
      </c>
      <c r="C1013" s="2">
        <v>926</v>
      </c>
      <c r="D1013" s="39" t="s">
        <v>8</v>
      </c>
      <c r="E1013" s="39" t="s">
        <v>5</v>
      </c>
      <c r="F1013" s="39" t="s">
        <v>6</v>
      </c>
      <c r="G1013" s="2">
        <v>1</v>
      </c>
      <c r="H1013" s="39" t="s">
        <v>7</v>
      </c>
      <c r="I1013" s="39" t="s">
        <v>297</v>
      </c>
      <c r="J1013" s="39" t="s">
        <v>59</v>
      </c>
      <c r="K1013" s="6">
        <f>999.1+4550.9-140.2</f>
        <v>5409.8</v>
      </c>
    </row>
    <row r="1014" spans="1:12" s="26" customFormat="1" ht="109.2" x14ac:dyDescent="0.25">
      <c r="A1014" s="93"/>
      <c r="B1014" s="1" t="s">
        <v>492</v>
      </c>
      <c r="C1014" s="2">
        <v>926</v>
      </c>
      <c r="D1014" s="39" t="s">
        <v>8</v>
      </c>
      <c r="E1014" s="39" t="s">
        <v>5</v>
      </c>
      <c r="F1014" s="39" t="s">
        <v>6</v>
      </c>
      <c r="G1014" s="2">
        <v>1</v>
      </c>
      <c r="H1014" s="39" t="s">
        <v>7</v>
      </c>
      <c r="I1014" s="39" t="s">
        <v>493</v>
      </c>
      <c r="J1014" s="39"/>
      <c r="K1014" s="6">
        <f>SUM(K1015)</f>
        <v>118.8</v>
      </c>
    </row>
    <row r="1015" spans="1:12" s="26" customFormat="1" ht="31.2" x14ac:dyDescent="0.25">
      <c r="A1015" s="93"/>
      <c r="B1015" s="43" t="s">
        <v>121</v>
      </c>
      <c r="C1015" s="2">
        <v>926</v>
      </c>
      <c r="D1015" s="39" t="s">
        <v>8</v>
      </c>
      <c r="E1015" s="39" t="s">
        <v>5</v>
      </c>
      <c r="F1015" s="39" t="s">
        <v>6</v>
      </c>
      <c r="G1015" s="2">
        <v>1</v>
      </c>
      <c r="H1015" s="39" t="s">
        <v>7</v>
      </c>
      <c r="I1015" s="39" t="s">
        <v>493</v>
      </c>
      <c r="J1015" s="39" t="s">
        <v>59</v>
      </c>
      <c r="K1015" s="6">
        <v>118.8</v>
      </c>
    </row>
    <row r="1016" spans="1:12" s="26" customFormat="1" ht="31.2" x14ac:dyDescent="0.25">
      <c r="A1016" s="93"/>
      <c r="B1016" s="40" t="s">
        <v>145</v>
      </c>
      <c r="C1016" s="2">
        <v>926</v>
      </c>
      <c r="D1016" s="39" t="s">
        <v>8</v>
      </c>
      <c r="E1016" s="39" t="s">
        <v>5</v>
      </c>
      <c r="F1016" s="37" t="s">
        <v>40</v>
      </c>
      <c r="G1016" s="37"/>
      <c r="H1016" s="37"/>
      <c r="I1016" s="37"/>
      <c r="J1016" s="39"/>
      <c r="K1016" s="6">
        <f>SUM(K1017+K1021)</f>
        <v>6570</v>
      </c>
    </row>
    <row r="1017" spans="1:12" s="26" customFormat="1" x14ac:dyDescent="0.25">
      <c r="A1017" s="93"/>
      <c r="B1017" s="40" t="s">
        <v>164</v>
      </c>
      <c r="C1017" s="2">
        <v>926</v>
      </c>
      <c r="D1017" s="39" t="s">
        <v>8</v>
      </c>
      <c r="E1017" s="39" t="s">
        <v>5</v>
      </c>
      <c r="F1017" s="39" t="s">
        <v>40</v>
      </c>
      <c r="G1017" s="2">
        <v>2</v>
      </c>
      <c r="H1017" s="39"/>
      <c r="I1017" s="39"/>
      <c r="J1017" s="39"/>
      <c r="K1017" s="6">
        <f>K1018</f>
        <v>0</v>
      </c>
    </row>
    <row r="1018" spans="1:12" s="26" customFormat="1" ht="31.2" x14ac:dyDescent="0.25">
      <c r="A1018" s="93"/>
      <c r="B1018" s="40" t="s">
        <v>195</v>
      </c>
      <c r="C1018" s="2">
        <v>926</v>
      </c>
      <c r="D1018" s="39" t="s">
        <v>8</v>
      </c>
      <c r="E1018" s="39" t="s">
        <v>5</v>
      </c>
      <c r="F1018" s="39" t="s">
        <v>40</v>
      </c>
      <c r="G1018" s="2">
        <v>2</v>
      </c>
      <c r="H1018" s="39" t="s">
        <v>4</v>
      </c>
      <c r="I1018" s="39"/>
      <c r="J1018" s="39"/>
      <c r="K1018" s="6">
        <f>K1019</f>
        <v>0</v>
      </c>
    </row>
    <row r="1019" spans="1:12" s="26" customFormat="1" ht="45.75" customHeight="1" x14ac:dyDescent="0.25">
      <c r="A1019" s="93"/>
      <c r="B1019" s="40" t="s">
        <v>219</v>
      </c>
      <c r="C1019" s="2">
        <v>926</v>
      </c>
      <c r="D1019" s="39" t="s">
        <v>8</v>
      </c>
      <c r="E1019" s="39" t="s">
        <v>5</v>
      </c>
      <c r="F1019" s="39" t="s">
        <v>40</v>
      </c>
      <c r="G1019" s="2">
        <v>2</v>
      </c>
      <c r="H1019" s="39" t="s">
        <v>4</v>
      </c>
      <c r="I1019" s="39" t="s">
        <v>194</v>
      </c>
      <c r="J1019" s="39"/>
      <c r="K1019" s="6">
        <f>K1020</f>
        <v>0</v>
      </c>
    </row>
    <row r="1020" spans="1:12" s="26" customFormat="1" ht="31.2" x14ac:dyDescent="0.25">
      <c r="A1020" s="93"/>
      <c r="B1020" s="43" t="s">
        <v>121</v>
      </c>
      <c r="C1020" s="2">
        <v>926</v>
      </c>
      <c r="D1020" s="39" t="s">
        <v>8</v>
      </c>
      <c r="E1020" s="39" t="s">
        <v>5</v>
      </c>
      <c r="F1020" s="39" t="s">
        <v>40</v>
      </c>
      <c r="G1020" s="2">
        <v>2</v>
      </c>
      <c r="H1020" s="39" t="s">
        <v>4</v>
      </c>
      <c r="I1020" s="39" t="s">
        <v>194</v>
      </c>
      <c r="J1020" s="39" t="s">
        <v>59</v>
      </c>
      <c r="K1020" s="6"/>
    </row>
    <row r="1021" spans="1:12" s="26" customFormat="1" x14ac:dyDescent="0.25">
      <c r="A1021" s="93"/>
      <c r="B1021" s="1" t="s">
        <v>388</v>
      </c>
      <c r="C1021" s="2">
        <v>926</v>
      </c>
      <c r="D1021" s="39" t="s">
        <v>8</v>
      </c>
      <c r="E1021" s="39" t="s">
        <v>5</v>
      </c>
      <c r="F1021" s="37" t="s">
        <v>40</v>
      </c>
      <c r="G1021" s="37" t="s">
        <v>139</v>
      </c>
      <c r="H1021" s="37"/>
      <c r="I1021" s="37"/>
      <c r="J1021" s="39"/>
      <c r="K1021" s="6">
        <f>SUM(K1022)</f>
        <v>6570</v>
      </c>
    </row>
    <row r="1022" spans="1:12" s="26" customFormat="1" ht="30" customHeight="1" x14ac:dyDescent="0.25">
      <c r="A1022" s="93"/>
      <c r="B1022" s="1" t="s">
        <v>391</v>
      </c>
      <c r="C1022" s="2">
        <v>926</v>
      </c>
      <c r="D1022" s="39" t="s">
        <v>8</v>
      </c>
      <c r="E1022" s="39" t="s">
        <v>5</v>
      </c>
      <c r="F1022" s="37" t="s">
        <v>40</v>
      </c>
      <c r="G1022" s="37" t="s">
        <v>139</v>
      </c>
      <c r="H1022" s="37" t="s">
        <v>2</v>
      </c>
      <c r="I1022" s="37"/>
      <c r="J1022" s="39"/>
      <c r="K1022" s="6">
        <f>SUM(K1023)</f>
        <v>6570</v>
      </c>
    </row>
    <row r="1023" spans="1:12" s="26" customFormat="1" ht="49.5" customHeight="1" x14ac:dyDescent="0.25">
      <c r="A1023" s="93"/>
      <c r="B1023" s="1" t="s">
        <v>392</v>
      </c>
      <c r="C1023" s="2">
        <v>926</v>
      </c>
      <c r="D1023" s="39" t="s">
        <v>8</v>
      </c>
      <c r="E1023" s="39" t="s">
        <v>5</v>
      </c>
      <c r="F1023" s="37" t="s">
        <v>40</v>
      </c>
      <c r="G1023" s="37" t="s">
        <v>139</v>
      </c>
      <c r="H1023" s="37" t="s">
        <v>2</v>
      </c>
      <c r="I1023" s="37" t="s">
        <v>151</v>
      </c>
      <c r="J1023" s="39"/>
      <c r="K1023" s="6">
        <f>SUM(K1024)</f>
        <v>6570</v>
      </c>
    </row>
    <row r="1024" spans="1:12" s="26" customFormat="1" ht="31.2" x14ac:dyDescent="0.25">
      <c r="A1024" s="93"/>
      <c r="B1024" s="43" t="s">
        <v>121</v>
      </c>
      <c r="C1024" s="2">
        <v>926</v>
      </c>
      <c r="D1024" s="39" t="s">
        <v>8</v>
      </c>
      <c r="E1024" s="39" t="s">
        <v>5</v>
      </c>
      <c r="F1024" s="37" t="s">
        <v>40</v>
      </c>
      <c r="G1024" s="37" t="s">
        <v>139</v>
      </c>
      <c r="H1024" s="37" t="s">
        <v>2</v>
      </c>
      <c r="I1024" s="37" t="s">
        <v>151</v>
      </c>
      <c r="J1024" s="39" t="s">
        <v>59</v>
      </c>
      <c r="K1024" s="6">
        <f>1620+4950</f>
        <v>6570</v>
      </c>
    </row>
    <row r="1025" spans="1:11" s="26" customFormat="1" x14ac:dyDescent="0.25">
      <c r="A1025" s="93"/>
      <c r="B1025" s="3" t="s">
        <v>342</v>
      </c>
      <c r="C1025" s="2">
        <v>926</v>
      </c>
      <c r="D1025" s="39" t="s">
        <v>8</v>
      </c>
      <c r="E1025" s="39" t="s">
        <v>5</v>
      </c>
      <c r="F1025" s="37" t="s">
        <v>186</v>
      </c>
      <c r="G1025" s="37"/>
      <c r="H1025" s="37"/>
      <c r="I1025" s="37"/>
      <c r="J1025" s="39"/>
      <c r="K1025" s="6">
        <f>SUM(K1026)</f>
        <v>358.3</v>
      </c>
    </row>
    <row r="1026" spans="1:11" s="26" customFormat="1" x14ac:dyDescent="0.25">
      <c r="A1026" s="93"/>
      <c r="B1026" s="3" t="s">
        <v>343</v>
      </c>
      <c r="C1026" s="2">
        <v>926</v>
      </c>
      <c r="D1026" s="39" t="s">
        <v>8</v>
      </c>
      <c r="E1026" s="39" t="s">
        <v>5</v>
      </c>
      <c r="F1026" s="37" t="s">
        <v>186</v>
      </c>
      <c r="G1026" s="37" t="s">
        <v>90</v>
      </c>
      <c r="H1026" s="37"/>
      <c r="I1026" s="37"/>
      <c r="J1026" s="39"/>
      <c r="K1026" s="6">
        <f>SUM(K1027)</f>
        <v>358.3</v>
      </c>
    </row>
    <row r="1027" spans="1:11" s="26" customFormat="1" ht="31.2" x14ac:dyDescent="0.25">
      <c r="A1027" s="93"/>
      <c r="B1027" s="3" t="s">
        <v>187</v>
      </c>
      <c r="C1027" s="2">
        <v>926</v>
      </c>
      <c r="D1027" s="39" t="s">
        <v>8</v>
      </c>
      <c r="E1027" s="39" t="s">
        <v>5</v>
      </c>
      <c r="F1027" s="37" t="s">
        <v>186</v>
      </c>
      <c r="G1027" s="37" t="s">
        <v>90</v>
      </c>
      <c r="H1027" s="37" t="s">
        <v>2</v>
      </c>
      <c r="I1027" s="37"/>
      <c r="J1027" s="39"/>
      <c r="K1027" s="6">
        <f>SUM(K1028)</f>
        <v>358.3</v>
      </c>
    </row>
    <row r="1028" spans="1:11" s="26" customFormat="1" ht="140.4" x14ac:dyDescent="0.25">
      <c r="A1028" s="93"/>
      <c r="B1028" s="1" t="s">
        <v>520</v>
      </c>
      <c r="C1028" s="2">
        <v>926</v>
      </c>
      <c r="D1028" s="39" t="s">
        <v>8</v>
      </c>
      <c r="E1028" s="39" t="s">
        <v>5</v>
      </c>
      <c r="F1028" s="37" t="s">
        <v>186</v>
      </c>
      <c r="G1028" s="37" t="s">
        <v>90</v>
      </c>
      <c r="H1028" s="37" t="s">
        <v>2</v>
      </c>
      <c r="I1028" s="37" t="s">
        <v>436</v>
      </c>
      <c r="J1028" s="39"/>
      <c r="K1028" s="6">
        <f>SUM(K1029:K1029)</f>
        <v>358.3</v>
      </c>
    </row>
    <row r="1029" spans="1:11" s="26" customFormat="1" ht="31.2" x14ac:dyDescent="0.25">
      <c r="A1029" s="93"/>
      <c r="B1029" s="43" t="s">
        <v>121</v>
      </c>
      <c r="C1029" s="2">
        <v>926</v>
      </c>
      <c r="D1029" s="39" t="s">
        <v>8</v>
      </c>
      <c r="E1029" s="39" t="s">
        <v>5</v>
      </c>
      <c r="F1029" s="37" t="s">
        <v>186</v>
      </c>
      <c r="G1029" s="37" t="s">
        <v>90</v>
      </c>
      <c r="H1029" s="37" t="s">
        <v>2</v>
      </c>
      <c r="I1029" s="37" t="s">
        <v>436</v>
      </c>
      <c r="J1029" s="39" t="s">
        <v>59</v>
      </c>
      <c r="K1029" s="6">
        <f>293.8+64.5</f>
        <v>358.3</v>
      </c>
    </row>
    <row r="1030" spans="1:11" s="26" customFormat="1" ht="17.25" customHeight="1" x14ac:dyDescent="0.25">
      <c r="A1030" s="93"/>
      <c r="B1030" s="1" t="s">
        <v>235</v>
      </c>
      <c r="C1030" s="2">
        <v>926</v>
      </c>
      <c r="D1030" s="39" t="s">
        <v>8</v>
      </c>
      <c r="E1030" s="37" t="s">
        <v>7</v>
      </c>
      <c r="F1030" s="37"/>
      <c r="G1030" s="37"/>
      <c r="H1030" s="37"/>
      <c r="I1030" s="37"/>
      <c r="J1030" s="39"/>
      <c r="K1030" s="6">
        <f t="shared" ref="K1030:K1033" si="46">SUM(K1031)</f>
        <v>57.3</v>
      </c>
    </row>
    <row r="1031" spans="1:11" s="26" customFormat="1" x14ac:dyDescent="0.25">
      <c r="A1031" s="93"/>
      <c r="B1031" s="40" t="s">
        <v>395</v>
      </c>
      <c r="C1031" s="2">
        <v>926</v>
      </c>
      <c r="D1031" s="37" t="s">
        <v>8</v>
      </c>
      <c r="E1031" s="37" t="s">
        <v>7</v>
      </c>
      <c r="F1031" s="37" t="s">
        <v>6</v>
      </c>
      <c r="G1031" s="37"/>
      <c r="H1031" s="37"/>
      <c r="I1031" s="37"/>
      <c r="J1031" s="39"/>
      <c r="K1031" s="6">
        <f t="shared" si="46"/>
        <v>57.3</v>
      </c>
    </row>
    <row r="1032" spans="1:11" s="26" customFormat="1" x14ac:dyDescent="0.25">
      <c r="A1032" s="93"/>
      <c r="B1032" s="40" t="s">
        <v>396</v>
      </c>
      <c r="C1032" s="2">
        <v>926</v>
      </c>
      <c r="D1032" s="37" t="s">
        <v>8</v>
      </c>
      <c r="E1032" s="37" t="s">
        <v>7</v>
      </c>
      <c r="F1032" s="37" t="s">
        <v>6</v>
      </c>
      <c r="G1032" s="37" t="s">
        <v>90</v>
      </c>
      <c r="H1032" s="37"/>
      <c r="I1032" s="37"/>
      <c r="J1032" s="39"/>
      <c r="K1032" s="6">
        <f t="shared" si="46"/>
        <v>57.3</v>
      </c>
    </row>
    <row r="1033" spans="1:11" s="26" customFormat="1" ht="31.2" x14ac:dyDescent="0.25">
      <c r="A1033" s="93"/>
      <c r="B1033" s="40" t="s">
        <v>504</v>
      </c>
      <c r="C1033" s="2">
        <v>926</v>
      </c>
      <c r="D1033" s="37" t="s">
        <v>8</v>
      </c>
      <c r="E1033" s="37" t="s">
        <v>7</v>
      </c>
      <c r="F1033" s="37" t="s">
        <v>6</v>
      </c>
      <c r="G1033" s="37" t="s">
        <v>90</v>
      </c>
      <c r="H1033" s="37" t="s">
        <v>2</v>
      </c>
      <c r="I1033" s="37"/>
      <c r="J1033" s="39"/>
      <c r="K1033" s="6">
        <f t="shared" si="46"/>
        <v>57.3</v>
      </c>
    </row>
    <row r="1034" spans="1:11" s="26" customFormat="1" x14ac:dyDescent="0.25">
      <c r="A1034" s="93"/>
      <c r="B1034" s="1" t="s">
        <v>237</v>
      </c>
      <c r="C1034" s="2">
        <v>926</v>
      </c>
      <c r="D1034" s="37" t="s">
        <v>8</v>
      </c>
      <c r="E1034" s="37" t="s">
        <v>7</v>
      </c>
      <c r="F1034" s="37" t="s">
        <v>6</v>
      </c>
      <c r="G1034" s="37" t="s">
        <v>90</v>
      </c>
      <c r="H1034" s="37" t="s">
        <v>2</v>
      </c>
      <c r="I1034" s="37" t="s">
        <v>236</v>
      </c>
      <c r="J1034" s="39"/>
      <c r="K1034" s="6">
        <f>SUM(K1035)</f>
        <v>57.3</v>
      </c>
    </row>
    <row r="1035" spans="1:11" s="26" customFormat="1" ht="31.2" x14ac:dyDescent="0.25">
      <c r="A1035" s="93"/>
      <c r="B1035" s="1" t="s">
        <v>123</v>
      </c>
      <c r="C1035" s="2">
        <v>926</v>
      </c>
      <c r="D1035" s="37" t="s">
        <v>8</v>
      </c>
      <c r="E1035" s="37" t="s">
        <v>7</v>
      </c>
      <c r="F1035" s="37" t="s">
        <v>6</v>
      </c>
      <c r="G1035" s="37" t="s">
        <v>90</v>
      </c>
      <c r="H1035" s="37" t="s">
        <v>2</v>
      </c>
      <c r="I1035" s="37" t="s">
        <v>236</v>
      </c>
      <c r="J1035" s="39" t="s">
        <v>49</v>
      </c>
      <c r="K1035" s="6">
        <v>57.3</v>
      </c>
    </row>
    <row r="1036" spans="1:11" s="26" customFormat="1" x14ac:dyDescent="0.25">
      <c r="A1036" s="93"/>
      <c r="B1036" s="1" t="s">
        <v>64</v>
      </c>
      <c r="C1036" s="2">
        <v>926</v>
      </c>
      <c r="D1036" s="37" t="s">
        <v>17</v>
      </c>
      <c r="E1036" s="39"/>
      <c r="F1036" s="39"/>
      <c r="G1036" s="2"/>
      <c r="H1036" s="39"/>
      <c r="I1036" s="39"/>
      <c r="J1036" s="39"/>
      <c r="K1036" s="6">
        <f>SUM(K1136+K1037+K1122)</f>
        <v>788104.00000000023</v>
      </c>
    </row>
    <row r="1037" spans="1:11" s="26" customFormat="1" x14ac:dyDescent="0.25">
      <c r="A1037" s="93"/>
      <c r="B1037" s="1" t="s">
        <v>184</v>
      </c>
      <c r="C1037" s="2">
        <v>926</v>
      </c>
      <c r="D1037" s="39" t="s">
        <v>17</v>
      </c>
      <c r="E1037" s="39" t="s">
        <v>2</v>
      </c>
      <c r="F1037" s="39"/>
      <c r="G1037" s="2"/>
      <c r="H1037" s="39"/>
      <c r="I1037" s="39"/>
      <c r="J1037" s="39"/>
      <c r="K1037" s="6">
        <f>SUM(K1038+K1115+K1104+K1099+K1090)</f>
        <v>665343.40000000014</v>
      </c>
    </row>
    <row r="1038" spans="1:11" s="26" customFormat="1" x14ac:dyDescent="0.25">
      <c r="A1038" s="93"/>
      <c r="B1038" s="40" t="s">
        <v>395</v>
      </c>
      <c r="C1038" s="2">
        <v>926</v>
      </c>
      <c r="D1038" s="39" t="s">
        <v>17</v>
      </c>
      <c r="E1038" s="39" t="s">
        <v>2</v>
      </c>
      <c r="F1038" s="39" t="s">
        <v>6</v>
      </c>
      <c r="G1038" s="2"/>
      <c r="H1038" s="39"/>
      <c r="I1038" s="39"/>
      <c r="J1038" s="39"/>
      <c r="K1038" s="6">
        <f>SUM(K1039)</f>
        <v>620186.30000000005</v>
      </c>
    </row>
    <row r="1039" spans="1:11" s="26" customFormat="1" x14ac:dyDescent="0.25">
      <c r="A1039" s="93"/>
      <c r="B1039" s="40" t="s">
        <v>396</v>
      </c>
      <c r="C1039" s="2">
        <v>926</v>
      </c>
      <c r="D1039" s="39" t="s">
        <v>17</v>
      </c>
      <c r="E1039" s="39" t="s">
        <v>2</v>
      </c>
      <c r="F1039" s="39" t="s">
        <v>6</v>
      </c>
      <c r="G1039" s="2">
        <v>1</v>
      </c>
      <c r="H1039" s="39"/>
      <c r="I1039" s="39"/>
      <c r="J1039" s="39"/>
      <c r="K1039" s="6">
        <f>SUM(K1057+K1040+K1046+K1052+K1075+K1082+K1085)</f>
        <v>620186.30000000005</v>
      </c>
    </row>
    <row r="1040" spans="1:11" s="26" customFormat="1" ht="31.2" x14ac:dyDescent="0.25">
      <c r="A1040" s="93"/>
      <c r="B1040" s="40" t="s">
        <v>435</v>
      </c>
      <c r="C1040" s="2">
        <v>926</v>
      </c>
      <c r="D1040" s="39" t="s">
        <v>17</v>
      </c>
      <c r="E1040" s="39" t="s">
        <v>2</v>
      </c>
      <c r="F1040" s="39" t="s">
        <v>6</v>
      </c>
      <c r="G1040" s="2">
        <v>1</v>
      </c>
      <c r="H1040" s="39" t="s">
        <v>4</v>
      </c>
      <c r="I1040" s="39"/>
      <c r="J1040" s="39"/>
      <c r="K1040" s="6">
        <f>SUM(K1041)</f>
        <v>565055.1</v>
      </c>
    </row>
    <row r="1041" spans="1:11" s="26" customFormat="1" ht="46.8" x14ac:dyDescent="0.25">
      <c r="A1041" s="93"/>
      <c r="B1041" s="1" t="s">
        <v>66</v>
      </c>
      <c r="C1041" s="2">
        <v>926</v>
      </c>
      <c r="D1041" s="39" t="s">
        <v>17</v>
      </c>
      <c r="E1041" s="39" t="s">
        <v>2</v>
      </c>
      <c r="F1041" s="39" t="s">
        <v>6</v>
      </c>
      <c r="G1041" s="2">
        <v>1</v>
      </c>
      <c r="H1041" s="39" t="s">
        <v>4</v>
      </c>
      <c r="I1041" s="39" t="s">
        <v>85</v>
      </c>
      <c r="J1041" s="39"/>
      <c r="K1041" s="6">
        <f>SUM(K1042:K1045)</f>
        <v>565055.1</v>
      </c>
    </row>
    <row r="1042" spans="1:11" s="26" customFormat="1" ht="53.25" customHeight="1" x14ac:dyDescent="0.25">
      <c r="A1042" s="93"/>
      <c r="B1042" s="1" t="s">
        <v>122</v>
      </c>
      <c r="C1042" s="2">
        <v>926</v>
      </c>
      <c r="D1042" s="39" t="s">
        <v>17</v>
      </c>
      <c r="E1042" s="39" t="s">
        <v>2</v>
      </c>
      <c r="F1042" s="39" t="s">
        <v>6</v>
      </c>
      <c r="G1042" s="2">
        <v>1</v>
      </c>
      <c r="H1042" s="39" t="s">
        <v>4</v>
      </c>
      <c r="I1042" s="39" t="s">
        <v>85</v>
      </c>
      <c r="J1042" s="39" t="s">
        <v>48</v>
      </c>
      <c r="K1042" s="6">
        <f>324951.2-30969.4-27.3+27.3-1051.8</f>
        <v>292930</v>
      </c>
    </row>
    <row r="1043" spans="1:11" s="26" customFormat="1" ht="31.2" x14ac:dyDescent="0.25">
      <c r="A1043" s="93"/>
      <c r="B1043" s="1" t="s">
        <v>123</v>
      </c>
      <c r="C1043" s="2">
        <v>926</v>
      </c>
      <c r="D1043" s="39" t="s">
        <v>17</v>
      </c>
      <c r="E1043" s="39" t="s">
        <v>2</v>
      </c>
      <c r="F1043" s="39" t="s">
        <v>6</v>
      </c>
      <c r="G1043" s="2">
        <v>1</v>
      </c>
      <c r="H1043" s="39" t="s">
        <v>4</v>
      </c>
      <c r="I1043" s="39" t="s">
        <v>85</v>
      </c>
      <c r="J1043" s="39" t="s">
        <v>49</v>
      </c>
      <c r="K1043" s="6">
        <f>50238+2823.6+0.1-3859.7+3816.2-3816.2-8.7-40.7+208-9787.2-62.1-690.5-590.1+388.3-948.9-200.1</f>
        <v>37470.000000000015</v>
      </c>
    </row>
    <row r="1044" spans="1:11" s="26" customFormat="1" ht="31.2" x14ac:dyDescent="0.25">
      <c r="A1044" s="93"/>
      <c r="B1044" s="43" t="s">
        <v>121</v>
      </c>
      <c r="C1044" s="2">
        <v>926</v>
      </c>
      <c r="D1044" s="39" t="s">
        <v>17</v>
      </c>
      <c r="E1044" s="39" t="s">
        <v>2</v>
      </c>
      <c r="F1044" s="39" t="s">
        <v>6</v>
      </c>
      <c r="G1044" s="2">
        <v>1</v>
      </c>
      <c r="H1044" s="39" t="s">
        <v>4</v>
      </c>
      <c r="I1044" s="39" t="s">
        <v>85</v>
      </c>
      <c r="J1044" s="39" t="s">
        <v>59</v>
      </c>
      <c r="K1044" s="6">
        <f>200854.7+34799.1-3829.7+3829.7-571.5-350-689.1+100</f>
        <v>234143.2</v>
      </c>
    </row>
    <row r="1045" spans="1:11" s="26" customFormat="1" x14ac:dyDescent="0.25">
      <c r="A1045" s="93"/>
      <c r="B1045" s="1" t="s">
        <v>50</v>
      </c>
      <c r="C1045" s="2">
        <v>926</v>
      </c>
      <c r="D1045" s="39" t="s">
        <v>17</v>
      </c>
      <c r="E1045" s="39" t="s">
        <v>2</v>
      </c>
      <c r="F1045" s="39" t="s">
        <v>6</v>
      </c>
      <c r="G1045" s="2">
        <v>1</v>
      </c>
      <c r="H1045" s="39" t="s">
        <v>4</v>
      </c>
      <c r="I1045" s="39" t="s">
        <v>85</v>
      </c>
      <c r="J1045" s="39" t="s">
        <v>51</v>
      </c>
      <c r="K1045" s="6">
        <f>384.1-12.7+13.5+27.3-13.5+8.7+40.7+1.7+62.1</f>
        <v>511.90000000000003</v>
      </c>
    </row>
    <row r="1046" spans="1:11" s="26" customFormat="1" ht="78" x14ac:dyDescent="0.25">
      <c r="A1046" s="93"/>
      <c r="B1046" s="1" t="s">
        <v>457</v>
      </c>
      <c r="C1046" s="2">
        <v>926</v>
      </c>
      <c r="D1046" s="39" t="s">
        <v>17</v>
      </c>
      <c r="E1046" s="39" t="s">
        <v>2</v>
      </c>
      <c r="F1046" s="39" t="s">
        <v>6</v>
      </c>
      <c r="G1046" s="2">
        <v>1</v>
      </c>
      <c r="H1046" s="39" t="s">
        <v>5</v>
      </c>
      <c r="I1046" s="39"/>
      <c r="J1046" s="39"/>
      <c r="K1046" s="6">
        <f>SUM(K1049+K1047)</f>
        <v>2120.6999999999998</v>
      </c>
    </row>
    <row r="1047" spans="1:11" s="26" customFormat="1" x14ac:dyDescent="0.25">
      <c r="A1047" s="93"/>
      <c r="B1047" s="40" t="s">
        <v>305</v>
      </c>
      <c r="C1047" s="2">
        <v>926</v>
      </c>
      <c r="D1047" s="39" t="s">
        <v>17</v>
      </c>
      <c r="E1047" s="39" t="s">
        <v>2</v>
      </c>
      <c r="F1047" s="39" t="s">
        <v>6</v>
      </c>
      <c r="G1047" s="2">
        <v>1</v>
      </c>
      <c r="H1047" s="39" t="s">
        <v>5</v>
      </c>
      <c r="I1047" s="39" t="s">
        <v>306</v>
      </c>
      <c r="J1047" s="39"/>
      <c r="K1047" s="6">
        <f>SUM(K1048)</f>
        <v>5.7000000000000028</v>
      </c>
    </row>
    <row r="1048" spans="1:11" s="26" customFormat="1" ht="31.2" x14ac:dyDescent="0.25">
      <c r="A1048" s="93"/>
      <c r="B1048" s="43" t="s">
        <v>121</v>
      </c>
      <c r="C1048" s="2">
        <v>926</v>
      </c>
      <c r="D1048" s="39" t="s">
        <v>17</v>
      </c>
      <c r="E1048" s="39" t="s">
        <v>2</v>
      </c>
      <c r="F1048" s="39" t="s">
        <v>6</v>
      </c>
      <c r="G1048" s="2">
        <v>1</v>
      </c>
      <c r="H1048" s="39" t="s">
        <v>5</v>
      </c>
      <c r="I1048" s="39" t="s">
        <v>306</v>
      </c>
      <c r="J1048" s="39" t="s">
        <v>59</v>
      </c>
      <c r="K1048" s="6">
        <f>117.7-0.1-111.9</f>
        <v>5.7000000000000028</v>
      </c>
    </row>
    <row r="1049" spans="1:11" s="26" customFormat="1" ht="46.8" x14ac:dyDescent="0.25">
      <c r="A1049" s="93"/>
      <c r="B1049" s="54" t="s">
        <v>169</v>
      </c>
      <c r="C1049" s="2">
        <v>926</v>
      </c>
      <c r="D1049" s="39" t="s">
        <v>17</v>
      </c>
      <c r="E1049" s="39" t="s">
        <v>2</v>
      </c>
      <c r="F1049" s="39" t="s">
        <v>6</v>
      </c>
      <c r="G1049" s="2">
        <v>1</v>
      </c>
      <c r="H1049" s="39" t="s">
        <v>5</v>
      </c>
      <c r="I1049" s="39" t="s">
        <v>144</v>
      </c>
      <c r="J1049" s="39"/>
      <c r="K1049" s="6">
        <f>SUM(K1050:K1051)</f>
        <v>2115</v>
      </c>
    </row>
    <row r="1050" spans="1:11" s="26" customFormat="1" ht="50.25" customHeight="1" x14ac:dyDescent="0.25">
      <c r="A1050" s="93"/>
      <c r="B1050" s="1" t="s">
        <v>122</v>
      </c>
      <c r="C1050" s="2">
        <v>926</v>
      </c>
      <c r="D1050" s="39" t="s">
        <v>17</v>
      </c>
      <c r="E1050" s="39" t="s">
        <v>2</v>
      </c>
      <c r="F1050" s="39" t="s">
        <v>6</v>
      </c>
      <c r="G1050" s="2">
        <v>1</v>
      </c>
      <c r="H1050" s="39" t="s">
        <v>5</v>
      </c>
      <c r="I1050" s="39" t="s">
        <v>144</v>
      </c>
      <c r="J1050" s="39" t="s">
        <v>48</v>
      </c>
      <c r="K1050" s="6">
        <f>160.5+160.5+735+123</f>
        <v>1179</v>
      </c>
    </row>
    <row r="1051" spans="1:11" s="26" customFormat="1" ht="31.2" x14ac:dyDescent="0.25">
      <c r="A1051" s="93"/>
      <c r="B1051" s="43" t="s">
        <v>121</v>
      </c>
      <c r="C1051" s="2">
        <v>926</v>
      </c>
      <c r="D1051" s="39" t="s">
        <v>17</v>
      </c>
      <c r="E1051" s="39" t="s">
        <v>2</v>
      </c>
      <c r="F1051" s="39" t="s">
        <v>6</v>
      </c>
      <c r="G1051" s="2">
        <v>1</v>
      </c>
      <c r="H1051" s="39" t="s">
        <v>5</v>
      </c>
      <c r="I1051" s="39" t="s">
        <v>144</v>
      </c>
      <c r="J1051" s="39" t="s">
        <v>59</v>
      </c>
      <c r="K1051" s="6">
        <f>270+450+243-27</f>
        <v>936</v>
      </c>
    </row>
    <row r="1052" spans="1:11" s="26" customFormat="1" ht="156" x14ac:dyDescent="0.25">
      <c r="A1052" s="93"/>
      <c r="B1052" s="3" t="s">
        <v>458</v>
      </c>
      <c r="C1052" s="2">
        <v>926</v>
      </c>
      <c r="D1052" s="39" t="s">
        <v>17</v>
      </c>
      <c r="E1052" s="39" t="s">
        <v>2</v>
      </c>
      <c r="F1052" s="39" t="s">
        <v>6</v>
      </c>
      <c r="G1052" s="2">
        <v>1</v>
      </c>
      <c r="H1052" s="39" t="s">
        <v>6</v>
      </c>
      <c r="I1052" s="39"/>
      <c r="J1052" s="39"/>
      <c r="K1052" s="6">
        <f>SUM(K1053)</f>
        <v>7329.9999999999991</v>
      </c>
    </row>
    <row r="1053" spans="1:11" s="26" customFormat="1" x14ac:dyDescent="0.25">
      <c r="A1053" s="93"/>
      <c r="B1053" s="1" t="s">
        <v>459</v>
      </c>
      <c r="C1053" s="2">
        <v>926</v>
      </c>
      <c r="D1053" s="39" t="s">
        <v>17</v>
      </c>
      <c r="E1053" s="39" t="s">
        <v>2</v>
      </c>
      <c r="F1053" s="39" t="s">
        <v>6</v>
      </c>
      <c r="G1053" s="2">
        <v>1</v>
      </c>
      <c r="H1053" s="39" t="s">
        <v>6</v>
      </c>
      <c r="I1053" s="39" t="s">
        <v>185</v>
      </c>
      <c r="J1053" s="39"/>
      <c r="K1053" s="6">
        <f>SUM(K1056+K1054+K1055)</f>
        <v>7329.9999999999991</v>
      </c>
    </row>
    <row r="1054" spans="1:11" s="26" customFormat="1" ht="31.2" x14ac:dyDescent="0.25">
      <c r="A1054" s="93"/>
      <c r="B1054" s="1" t="s">
        <v>123</v>
      </c>
      <c r="C1054" s="2">
        <v>926</v>
      </c>
      <c r="D1054" s="39" t="s">
        <v>17</v>
      </c>
      <c r="E1054" s="39" t="s">
        <v>2</v>
      </c>
      <c r="F1054" s="39" t="s">
        <v>6</v>
      </c>
      <c r="G1054" s="2">
        <v>1</v>
      </c>
      <c r="H1054" s="39" t="s">
        <v>6</v>
      </c>
      <c r="I1054" s="39" t="s">
        <v>185</v>
      </c>
      <c r="J1054" s="39" t="s">
        <v>49</v>
      </c>
      <c r="K1054" s="6">
        <f>2646+200+400</f>
        <v>3246</v>
      </c>
    </row>
    <row r="1055" spans="1:11" s="26" customFormat="1" x14ac:dyDescent="0.25">
      <c r="A1055" s="93"/>
      <c r="B1055" s="46" t="s">
        <v>55</v>
      </c>
      <c r="C1055" s="2">
        <v>926</v>
      </c>
      <c r="D1055" s="39" t="s">
        <v>17</v>
      </c>
      <c r="E1055" s="39" t="s">
        <v>2</v>
      </c>
      <c r="F1055" s="39" t="s">
        <v>6</v>
      </c>
      <c r="G1055" s="2">
        <v>1</v>
      </c>
      <c r="H1055" s="39" t="s">
        <v>6</v>
      </c>
      <c r="I1055" s="39" t="s">
        <v>185</v>
      </c>
      <c r="J1055" s="39" t="s">
        <v>56</v>
      </c>
      <c r="K1055" s="6">
        <v>74.7</v>
      </c>
    </row>
    <row r="1056" spans="1:11" s="26" customFormat="1" ht="31.2" x14ac:dyDescent="0.25">
      <c r="A1056" s="93"/>
      <c r="B1056" s="43" t="s">
        <v>121</v>
      </c>
      <c r="C1056" s="2">
        <v>926</v>
      </c>
      <c r="D1056" s="39" t="s">
        <v>17</v>
      </c>
      <c r="E1056" s="39" t="s">
        <v>2</v>
      </c>
      <c r="F1056" s="39" t="s">
        <v>6</v>
      </c>
      <c r="G1056" s="2">
        <v>1</v>
      </c>
      <c r="H1056" s="39" t="s">
        <v>6</v>
      </c>
      <c r="I1056" s="39" t="s">
        <v>185</v>
      </c>
      <c r="J1056" s="39" t="s">
        <v>59</v>
      </c>
      <c r="K1056" s="6">
        <f>2376.7+1134.1+997.6-1033.6+234.5+300</f>
        <v>4009.2999999999997</v>
      </c>
    </row>
    <row r="1057" spans="1:11" s="26" customFormat="1" ht="31.2" x14ac:dyDescent="0.25">
      <c r="A1057" s="93"/>
      <c r="B1057" s="40" t="s">
        <v>439</v>
      </c>
      <c r="C1057" s="2">
        <v>926</v>
      </c>
      <c r="D1057" s="39" t="s">
        <v>17</v>
      </c>
      <c r="E1057" s="39" t="s">
        <v>2</v>
      </c>
      <c r="F1057" s="37" t="s">
        <v>6</v>
      </c>
      <c r="G1057" s="37" t="s">
        <v>90</v>
      </c>
      <c r="H1057" s="39" t="s">
        <v>7</v>
      </c>
      <c r="I1057" s="37"/>
      <c r="J1057" s="39"/>
      <c r="K1057" s="6">
        <f>SUM(K1058+K1066+K1073+K1071+K1061+K1064+K1069)</f>
        <v>32460.799999999999</v>
      </c>
    </row>
    <row r="1058" spans="1:11" s="26" customFormat="1" ht="31.2" x14ac:dyDescent="0.25">
      <c r="A1058" s="93"/>
      <c r="B1058" s="1" t="s">
        <v>588</v>
      </c>
      <c r="C1058" s="2">
        <v>926</v>
      </c>
      <c r="D1058" s="39" t="s">
        <v>17</v>
      </c>
      <c r="E1058" s="39" t="s">
        <v>2</v>
      </c>
      <c r="F1058" s="37" t="s">
        <v>6</v>
      </c>
      <c r="G1058" s="37" t="s">
        <v>90</v>
      </c>
      <c r="H1058" s="39" t="s">
        <v>7</v>
      </c>
      <c r="I1058" s="37" t="s">
        <v>503</v>
      </c>
      <c r="J1058" s="39"/>
      <c r="K1058" s="6">
        <f>SUM(K1060+K1059)</f>
        <v>13606.599999999999</v>
      </c>
    </row>
    <row r="1059" spans="1:11" s="26" customFormat="1" ht="31.2" x14ac:dyDescent="0.25">
      <c r="A1059" s="93"/>
      <c r="B1059" s="1" t="s">
        <v>123</v>
      </c>
      <c r="C1059" s="2">
        <v>926</v>
      </c>
      <c r="D1059" s="39" t="s">
        <v>17</v>
      </c>
      <c r="E1059" s="39" t="s">
        <v>2</v>
      </c>
      <c r="F1059" s="37" t="s">
        <v>6</v>
      </c>
      <c r="G1059" s="37" t="s">
        <v>90</v>
      </c>
      <c r="H1059" s="39" t="s">
        <v>7</v>
      </c>
      <c r="I1059" s="37" t="s">
        <v>503</v>
      </c>
      <c r="J1059" s="39" t="s">
        <v>49</v>
      </c>
      <c r="K1059" s="6">
        <f>481.4+(330)</f>
        <v>811.4</v>
      </c>
    </row>
    <row r="1060" spans="1:11" s="26" customFormat="1" ht="31.2" x14ac:dyDescent="0.25">
      <c r="A1060" s="93"/>
      <c r="B1060" s="43" t="s">
        <v>121</v>
      </c>
      <c r="C1060" s="2">
        <v>926</v>
      </c>
      <c r="D1060" s="39" t="s">
        <v>17</v>
      </c>
      <c r="E1060" s="39" t="s">
        <v>2</v>
      </c>
      <c r="F1060" s="37" t="s">
        <v>6</v>
      </c>
      <c r="G1060" s="37" t="s">
        <v>90</v>
      </c>
      <c r="H1060" s="39" t="s">
        <v>7</v>
      </c>
      <c r="I1060" s="37" t="s">
        <v>503</v>
      </c>
      <c r="J1060" s="39" t="s">
        <v>59</v>
      </c>
      <c r="K1060" s="6">
        <f>6070.9+5113.9+403.3+168+350+689.1</f>
        <v>12795.199999999999</v>
      </c>
    </row>
    <row r="1061" spans="1:11" s="26" customFormat="1" x14ac:dyDescent="0.25">
      <c r="A1061" s="93"/>
      <c r="B1061" s="3" t="s">
        <v>459</v>
      </c>
      <c r="C1061" s="2">
        <v>926</v>
      </c>
      <c r="D1061" s="39" t="s">
        <v>17</v>
      </c>
      <c r="E1061" s="39" t="s">
        <v>2</v>
      </c>
      <c r="F1061" s="37" t="s">
        <v>6</v>
      </c>
      <c r="G1061" s="37" t="s">
        <v>90</v>
      </c>
      <c r="H1061" s="39" t="s">
        <v>7</v>
      </c>
      <c r="I1061" s="37" t="s">
        <v>185</v>
      </c>
      <c r="J1061" s="39"/>
      <c r="K1061" s="6">
        <f>K1063+K1062</f>
        <v>11513.200000000003</v>
      </c>
    </row>
    <row r="1062" spans="1:11" s="26" customFormat="1" ht="31.2" x14ac:dyDescent="0.25">
      <c r="A1062" s="93"/>
      <c r="B1062" s="1" t="s">
        <v>123</v>
      </c>
      <c r="C1062" s="2">
        <v>926</v>
      </c>
      <c r="D1062" s="39" t="s">
        <v>17</v>
      </c>
      <c r="E1062" s="39" t="s">
        <v>2</v>
      </c>
      <c r="F1062" s="37" t="s">
        <v>6</v>
      </c>
      <c r="G1062" s="37" t="s">
        <v>90</v>
      </c>
      <c r="H1062" s="39" t="s">
        <v>7</v>
      </c>
      <c r="I1062" s="39" t="s">
        <v>185</v>
      </c>
      <c r="J1062" s="39" t="s">
        <v>49</v>
      </c>
      <c r="K1062" s="6">
        <v>2332.1</v>
      </c>
    </row>
    <row r="1063" spans="1:11" s="26" customFormat="1" ht="31.2" x14ac:dyDescent="0.25">
      <c r="A1063" s="93"/>
      <c r="B1063" s="43" t="s">
        <v>121</v>
      </c>
      <c r="C1063" s="2">
        <v>926</v>
      </c>
      <c r="D1063" s="39" t="s">
        <v>17</v>
      </c>
      <c r="E1063" s="39" t="s">
        <v>2</v>
      </c>
      <c r="F1063" s="37" t="s">
        <v>6</v>
      </c>
      <c r="G1063" s="37" t="s">
        <v>90</v>
      </c>
      <c r="H1063" s="39" t="s">
        <v>7</v>
      </c>
      <c r="I1063" s="37" t="s">
        <v>185</v>
      </c>
      <c r="J1063" s="39" t="s">
        <v>59</v>
      </c>
      <c r="K1063" s="6">
        <f>8340.1-6645.9-208+7981.2+117-403.3</f>
        <v>9181.1000000000022</v>
      </c>
    </row>
    <row r="1064" spans="1:11" s="26" customFormat="1" ht="31.2" x14ac:dyDescent="0.25">
      <c r="A1064" s="93"/>
      <c r="B1064" s="43" t="s">
        <v>289</v>
      </c>
      <c r="C1064" s="2">
        <v>926</v>
      </c>
      <c r="D1064" s="39" t="s">
        <v>17</v>
      </c>
      <c r="E1064" s="39" t="s">
        <v>2</v>
      </c>
      <c r="F1064" s="37" t="s">
        <v>6</v>
      </c>
      <c r="G1064" s="37" t="s">
        <v>90</v>
      </c>
      <c r="H1064" s="39" t="s">
        <v>7</v>
      </c>
      <c r="I1064" s="37" t="s">
        <v>288</v>
      </c>
      <c r="J1064" s="39"/>
      <c r="K1064" s="6">
        <f>K1065</f>
        <v>3550</v>
      </c>
    </row>
    <row r="1065" spans="1:11" s="26" customFormat="1" ht="31.2" x14ac:dyDescent="0.25">
      <c r="A1065" s="93"/>
      <c r="B1065" s="1" t="s">
        <v>123</v>
      </c>
      <c r="C1065" s="2">
        <v>926</v>
      </c>
      <c r="D1065" s="39" t="s">
        <v>17</v>
      </c>
      <c r="E1065" s="39" t="s">
        <v>2</v>
      </c>
      <c r="F1065" s="37" t="s">
        <v>6</v>
      </c>
      <c r="G1065" s="37" t="s">
        <v>90</v>
      </c>
      <c r="H1065" s="39" t="s">
        <v>7</v>
      </c>
      <c r="I1065" s="37" t="s">
        <v>288</v>
      </c>
      <c r="J1065" s="39" t="s">
        <v>49</v>
      </c>
      <c r="K1065" s="6">
        <v>3550</v>
      </c>
    </row>
    <row r="1066" spans="1:11" s="26" customFormat="1" ht="31.2" x14ac:dyDescent="0.25">
      <c r="A1066" s="93"/>
      <c r="B1066" s="1" t="s">
        <v>440</v>
      </c>
      <c r="C1066" s="2">
        <v>926</v>
      </c>
      <c r="D1066" s="39" t="s">
        <v>17</v>
      </c>
      <c r="E1066" s="39" t="s">
        <v>2</v>
      </c>
      <c r="F1066" s="37" t="s">
        <v>6</v>
      </c>
      <c r="G1066" s="37" t="s">
        <v>90</v>
      </c>
      <c r="H1066" s="39" t="s">
        <v>7</v>
      </c>
      <c r="I1066" s="37" t="s">
        <v>437</v>
      </c>
      <c r="J1066" s="39"/>
      <c r="K1066" s="6">
        <f>K1068+K1067</f>
        <v>975.59999999999991</v>
      </c>
    </row>
    <row r="1067" spans="1:11" s="26" customFormat="1" ht="31.2" x14ac:dyDescent="0.25">
      <c r="A1067" s="93"/>
      <c r="B1067" s="1" t="s">
        <v>123</v>
      </c>
      <c r="C1067" s="2">
        <v>926</v>
      </c>
      <c r="D1067" s="39" t="s">
        <v>17</v>
      </c>
      <c r="E1067" s="39" t="s">
        <v>2</v>
      </c>
      <c r="F1067" s="37" t="s">
        <v>6</v>
      </c>
      <c r="G1067" s="37" t="s">
        <v>90</v>
      </c>
      <c r="H1067" s="39" t="s">
        <v>7</v>
      </c>
      <c r="I1067" s="37" t="s">
        <v>437</v>
      </c>
      <c r="J1067" s="39" t="s">
        <v>49</v>
      </c>
      <c r="K1067" s="6">
        <f>2009.3-1033.7</f>
        <v>975.59999999999991</v>
      </c>
    </row>
    <row r="1068" spans="1:11" s="26" customFormat="1" ht="31.2" x14ac:dyDescent="0.25">
      <c r="A1068" s="93"/>
      <c r="B1068" s="43" t="s">
        <v>121</v>
      </c>
      <c r="C1068" s="2">
        <v>926</v>
      </c>
      <c r="D1068" s="39" t="s">
        <v>17</v>
      </c>
      <c r="E1068" s="39" t="s">
        <v>2</v>
      </c>
      <c r="F1068" s="37" t="s">
        <v>6</v>
      </c>
      <c r="G1068" s="37" t="s">
        <v>90</v>
      </c>
      <c r="H1068" s="39" t="s">
        <v>7</v>
      </c>
      <c r="I1068" s="37" t="s">
        <v>437</v>
      </c>
      <c r="J1068" s="39" t="s">
        <v>59</v>
      </c>
      <c r="K1068" s="6">
        <f>800+175.7-975.7</f>
        <v>0</v>
      </c>
    </row>
    <row r="1069" spans="1:11" s="26" customFormat="1" ht="46.8" x14ac:dyDescent="0.25">
      <c r="A1069" s="93"/>
      <c r="B1069" s="1" t="s">
        <v>604</v>
      </c>
      <c r="C1069" s="2">
        <v>926</v>
      </c>
      <c r="D1069" s="39" t="s">
        <v>17</v>
      </c>
      <c r="E1069" s="39" t="s">
        <v>2</v>
      </c>
      <c r="F1069" s="37" t="s">
        <v>6</v>
      </c>
      <c r="G1069" s="37" t="s">
        <v>90</v>
      </c>
      <c r="H1069" s="39" t="s">
        <v>7</v>
      </c>
      <c r="I1069" s="37" t="s">
        <v>605</v>
      </c>
      <c r="J1069" s="39"/>
      <c r="K1069" s="6">
        <f>K1070</f>
        <v>1033.7</v>
      </c>
    </row>
    <row r="1070" spans="1:11" s="26" customFormat="1" ht="31.2" x14ac:dyDescent="0.25">
      <c r="A1070" s="93"/>
      <c r="B1070" s="1" t="s">
        <v>123</v>
      </c>
      <c r="C1070" s="2">
        <v>926</v>
      </c>
      <c r="D1070" s="39" t="s">
        <v>17</v>
      </c>
      <c r="E1070" s="39" t="s">
        <v>2</v>
      </c>
      <c r="F1070" s="37" t="s">
        <v>6</v>
      </c>
      <c r="G1070" s="37" t="s">
        <v>90</v>
      </c>
      <c r="H1070" s="39" t="s">
        <v>7</v>
      </c>
      <c r="I1070" s="37" t="s">
        <v>605</v>
      </c>
      <c r="J1070" s="39" t="s">
        <v>49</v>
      </c>
      <c r="K1070" s="6">
        <v>1033.7</v>
      </c>
    </row>
    <row r="1071" spans="1:11" s="26" customFormat="1" ht="31.2" x14ac:dyDescent="0.25">
      <c r="A1071" s="93"/>
      <c r="B1071" s="1" t="s">
        <v>441</v>
      </c>
      <c r="C1071" s="2">
        <v>926</v>
      </c>
      <c r="D1071" s="39" t="s">
        <v>17</v>
      </c>
      <c r="E1071" s="39" t="s">
        <v>2</v>
      </c>
      <c r="F1071" s="37" t="s">
        <v>6</v>
      </c>
      <c r="G1071" s="37" t="s">
        <v>90</v>
      </c>
      <c r="H1071" s="39" t="s">
        <v>7</v>
      </c>
      <c r="I1071" s="37" t="s">
        <v>438</v>
      </c>
      <c r="J1071" s="39"/>
      <c r="K1071" s="6">
        <f>K1072</f>
        <v>1160.8</v>
      </c>
    </row>
    <row r="1072" spans="1:11" s="26" customFormat="1" ht="31.2" x14ac:dyDescent="0.25">
      <c r="A1072" s="93"/>
      <c r="B1072" s="43" t="s">
        <v>121</v>
      </c>
      <c r="C1072" s="2">
        <v>926</v>
      </c>
      <c r="D1072" s="39" t="s">
        <v>17</v>
      </c>
      <c r="E1072" s="39" t="s">
        <v>2</v>
      </c>
      <c r="F1072" s="37" t="s">
        <v>6</v>
      </c>
      <c r="G1072" s="37" t="s">
        <v>90</v>
      </c>
      <c r="H1072" s="39" t="s">
        <v>7</v>
      </c>
      <c r="I1072" s="37" t="s">
        <v>438</v>
      </c>
      <c r="J1072" s="39" t="s">
        <v>59</v>
      </c>
      <c r="K1072" s="6">
        <f>951.8+209</f>
        <v>1160.8</v>
      </c>
    </row>
    <row r="1073" spans="1:11" s="26" customFormat="1" x14ac:dyDescent="0.25">
      <c r="A1073" s="93"/>
      <c r="B1073" s="54" t="s">
        <v>232</v>
      </c>
      <c r="C1073" s="2">
        <v>926</v>
      </c>
      <c r="D1073" s="39" t="s">
        <v>17</v>
      </c>
      <c r="E1073" s="39" t="s">
        <v>2</v>
      </c>
      <c r="F1073" s="37" t="s">
        <v>6</v>
      </c>
      <c r="G1073" s="37" t="s">
        <v>90</v>
      </c>
      <c r="H1073" s="39" t="s">
        <v>7</v>
      </c>
      <c r="I1073" s="37" t="s">
        <v>278</v>
      </c>
      <c r="J1073" s="39"/>
      <c r="K1073" s="6">
        <f>K1074</f>
        <v>620.9</v>
      </c>
    </row>
    <row r="1074" spans="1:11" s="26" customFormat="1" ht="31.2" x14ac:dyDescent="0.25">
      <c r="A1074" s="93"/>
      <c r="B1074" s="43" t="s">
        <v>121</v>
      </c>
      <c r="C1074" s="2">
        <v>926</v>
      </c>
      <c r="D1074" s="39" t="s">
        <v>17</v>
      </c>
      <c r="E1074" s="39" t="s">
        <v>2</v>
      </c>
      <c r="F1074" s="37" t="s">
        <v>6</v>
      </c>
      <c r="G1074" s="37" t="s">
        <v>90</v>
      </c>
      <c r="H1074" s="39" t="s">
        <v>7</v>
      </c>
      <c r="I1074" s="37" t="s">
        <v>278</v>
      </c>
      <c r="J1074" s="39" t="s">
        <v>59</v>
      </c>
      <c r="K1074" s="6">
        <f>509.1+111.8</f>
        <v>620.9</v>
      </c>
    </row>
    <row r="1075" spans="1:11" s="26" customFormat="1" ht="31.2" x14ac:dyDescent="0.25">
      <c r="A1075" s="93"/>
      <c r="B1075" s="3" t="s">
        <v>460</v>
      </c>
      <c r="C1075" s="2">
        <v>926</v>
      </c>
      <c r="D1075" s="39" t="s">
        <v>17</v>
      </c>
      <c r="E1075" s="39" t="s">
        <v>2</v>
      </c>
      <c r="F1075" s="37" t="s">
        <v>6</v>
      </c>
      <c r="G1075" s="37" t="s">
        <v>90</v>
      </c>
      <c r="H1075" s="37" t="s">
        <v>30</v>
      </c>
      <c r="I1075" s="37"/>
      <c r="J1075" s="39"/>
      <c r="K1075" s="6">
        <f>SUM(K1076+K1079)</f>
        <v>1875.8</v>
      </c>
    </row>
    <row r="1076" spans="1:11" s="26" customFormat="1" ht="31.2" x14ac:dyDescent="0.25">
      <c r="A1076" s="93"/>
      <c r="B1076" s="3" t="s">
        <v>545</v>
      </c>
      <c r="C1076" s="2">
        <v>926</v>
      </c>
      <c r="D1076" s="39" t="s">
        <v>17</v>
      </c>
      <c r="E1076" s="39" t="s">
        <v>2</v>
      </c>
      <c r="F1076" s="37" t="s">
        <v>6</v>
      </c>
      <c r="G1076" s="37" t="s">
        <v>90</v>
      </c>
      <c r="H1076" s="37" t="s">
        <v>30</v>
      </c>
      <c r="I1076" s="37" t="s">
        <v>535</v>
      </c>
      <c r="J1076" s="39"/>
      <c r="K1076" s="6">
        <f>SUM(K1078+K1077)</f>
        <v>1836.5</v>
      </c>
    </row>
    <row r="1077" spans="1:11" s="26" customFormat="1" ht="31.2" x14ac:dyDescent="0.25">
      <c r="A1077" s="93"/>
      <c r="B1077" s="1" t="s">
        <v>123</v>
      </c>
      <c r="C1077" s="2">
        <v>926</v>
      </c>
      <c r="D1077" s="39" t="s">
        <v>17</v>
      </c>
      <c r="E1077" s="39" t="s">
        <v>2</v>
      </c>
      <c r="F1077" s="37" t="s">
        <v>6</v>
      </c>
      <c r="G1077" s="37" t="s">
        <v>90</v>
      </c>
      <c r="H1077" s="37" t="s">
        <v>30</v>
      </c>
      <c r="I1077" s="37" t="s">
        <v>535</v>
      </c>
      <c r="J1077" s="39" t="s">
        <v>49</v>
      </c>
      <c r="K1077" s="6">
        <v>1836.5</v>
      </c>
    </row>
    <row r="1078" spans="1:11" s="26" customFormat="1" ht="31.2" x14ac:dyDescent="0.25">
      <c r="A1078" s="93"/>
      <c r="B1078" s="43" t="s">
        <v>121</v>
      </c>
      <c r="C1078" s="2">
        <v>926</v>
      </c>
      <c r="D1078" s="39" t="s">
        <v>17</v>
      </c>
      <c r="E1078" s="39" t="s">
        <v>2</v>
      </c>
      <c r="F1078" s="37" t="s">
        <v>6</v>
      </c>
      <c r="G1078" s="37" t="s">
        <v>90</v>
      </c>
      <c r="H1078" s="37" t="s">
        <v>30</v>
      </c>
      <c r="I1078" s="37" t="s">
        <v>535</v>
      </c>
      <c r="J1078" s="39" t="s">
        <v>59</v>
      </c>
      <c r="K1078" s="6">
        <f>110.2+1726.3-1836.5</f>
        <v>0</v>
      </c>
    </row>
    <row r="1079" spans="1:11" s="26" customFormat="1" ht="31.2" x14ac:dyDescent="0.25">
      <c r="A1079" s="93"/>
      <c r="B1079" s="3" t="s">
        <v>545</v>
      </c>
      <c r="C1079" s="2">
        <v>926</v>
      </c>
      <c r="D1079" s="39" t="s">
        <v>17</v>
      </c>
      <c r="E1079" s="39" t="s">
        <v>2</v>
      </c>
      <c r="F1079" s="37" t="s">
        <v>6</v>
      </c>
      <c r="G1079" s="37" t="s">
        <v>90</v>
      </c>
      <c r="H1079" s="37" t="s">
        <v>30</v>
      </c>
      <c r="I1079" s="37" t="s">
        <v>536</v>
      </c>
      <c r="J1079" s="39"/>
      <c r="K1079" s="6">
        <f>SUM(K1081+K1080)</f>
        <v>39.299999999999997</v>
      </c>
    </row>
    <row r="1080" spans="1:11" s="26" customFormat="1" ht="31.2" x14ac:dyDescent="0.25">
      <c r="A1080" s="93"/>
      <c r="B1080" s="1" t="s">
        <v>123</v>
      </c>
      <c r="C1080" s="2">
        <v>926</v>
      </c>
      <c r="D1080" s="39" t="s">
        <v>17</v>
      </c>
      <c r="E1080" s="39" t="s">
        <v>2</v>
      </c>
      <c r="F1080" s="37" t="s">
        <v>6</v>
      </c>
      <c r="G1080" s="37" t="s">
        <v>90</v>
      </c>
      <c r="H1080" s="37" t="s">
        <v>30</v>
      </c>
      <c r="I1080" s="37" t="s">
        <v>536</v>
      </c>
      <c r="J1080" s="39" t="s">
        <v>49</v>
      </c>
      <c r="K1080" s="6">
        <v>39.299999999999997</v>
      </c>
    </row>
    <row r="1081" spans="1:11" s="26" customFormat="1" ht="31.2" x14ac:dyDescent="0.25">
      <c r="A1081" s="93"/>
      <c r="B1081" s="43" t="s">
        <v>121</v>
      </c>
      <c r="C1081" s="2">
        <v>926</v>
      </c>
      <c r="D1081" s="39" t="s">
        <v>17</v>
      </c>
      <c r="E1081" s="39" t="s">
        <v>2</v>
      </c>
      <c r="F1081" s="37" t="s">
        <v>6</v>
      </c>
      <c r="G1081" s="37" t="s">
        <v>90</v>
      </c>
      <c r="H1081" s="37" t="s">
        <v>30</v>
      </c>
      <c r="I1081" s="37" t="s">
        <v>536</v>
      </c>
      <c r="J1081" s="39" t="s">
        <v>59</v>
      </c>
      <c r="K1081" s="6">
        <f>39.3-39.3</f>
        <v>0</v>
      </c>
    </row>
    <row r="1082" spans="1:11" s="26" customFormat="1" x14ac:dyDescent="0.25">
      <c r="A1082" s="93"/>
      <c r="B1082" s="40" t="s">
        <v>231</v>
      </c>
      <c r="C1082" s="2">
        <v>926</v>
      </c>
      <c r="D1082" s="39" t="s">
        <v>17</v>
      </c>
      <c r="E1082" s="39" t="s">
        <v>2</v>
      </c>
      <c r="F1082" s="37" t="s">
        <v>6</v>
      </c>
      <c r="G1082" s="37" t="s">
        <v>90</v>
      </c>
      <c r="H1082" s="37" t="s">
        <v>489</v>
      </c>
      <c r="I1082" s="37"/>
      <c r="J1082" s="39"/>
      <c r="K1082" s="6">
        <f>SUM(K1083)</f>
        <v>0</v>
      </c>
    </row>
    <row r="1083" spans="1:11" s="26" customFormat="1" x14ac:dyDescent="0.25">
      <c r="A1083" s="93"/>
      <c r="B1083" s="3" t="s">
        <v>491</v>
      </c>
      <c r="C1083" s="2">
        <v>926</v>
      </c>
      <c r="D1083" s="39" t="s">
        <v>17</v>
      </c>
      <c r="E1083" s="39" t="s">
        <v>2</v>
      </c>
      <c r="F1083" s="37" t="s">
        <v>6</v>
      </c>
      <c r="G1083" s="37" t="s">
        <v>90</v>
      </c>
      <c r="H1083" s="37" t="s">
        <v>489</v>
      </c>
      <c r="I1083" s="37" t="s">
        <v>490</v>
      </c>
      <c r="J1083" s="39"/>
      <c r="K1083" s="6">
        <f>SUM(K1084)</f>
        <v>0</v>
      </c>
    </row>
    <row r="1084" spans="1:11" s="26" customFormat="1" ht="31.2" x14ac:dyDescent="0.25">
      <c r="A1084" s="93"/>
      <c r="B1084" s="1" t="s">
        <v>121</v>
      </c>
      <c r="C1084" s="2">
        <v>926</v>
      </c>
      <c r="D1084" s="39" t="s">
        <v>17</v>
      </c>
      <c r="E1084" s="39" t="s">
        <v>2</v>
      </c>
      <c r="F1084" s="37" t="s">
        <v>6</v>
      </c>
      <c r="G1084" s="37" t="s">
        <v>90</v>
      </c>
      <c r="H1084" s="37" t="s">
        <v>489</v>
      </c>
      <c r="I1084" s="37" t="s">
        <v>490</v>
      </c>
      <c r="J1084" s="39" t="s">
        <v>59</v>
      </c>
      <c r="K1084" s="6">
        <f>8000+1756.1+1755.8-11511.9</f>
        <v>0</v>
      </c>
    </row>
    <row r="1085" spans="1:11" s="26" customFormat="1" x14ac:dyDescent="0.25">
      <c r="A1085" s="93"/>
      <c r="B1085" s="1" t="s">
        <v>629</v>
      </c>
      <c r="C1085" s="2">
        <v>926</v>
      </c>
      <c r="D1085" s="39" t="s">
        <v>17</v>
      </c>
      <c r="E1085" s="39" t="s">
        <v>2</v>
      </c>
      <c r="F1085" s="37" t="s">
        <v>6</v>
      </c>
      <c r="G1085" s="37" t="s">
        <v>90</v>
      </c>
      <c r="H1085" s="37" t="s">
        <v>627</v>
      </c>
      <c r="I1085" s="37"/>
      <c r="J1085" s="39"/>
      <c r="K1085" s="6">
        <f>K1086+K1088</f>
        <v>11343.9</v>
      </c>
    </row>
    <row r="1086" spans="1:11" s="26" customFormat="1" x14ac:dyDescent="0.25">
      <c r="A1086" s="93"/>
      <c r="B1086" s="3" t="s">
        <v>491</v>
      </c>
      <c r="C1086" s="2">
        <v>926</v>
      </c>
      <c r="D1086" s="39" t="s">
        <v>17</v>
      </c>
      <c r="E1086" s="39" t="s">
        <v>2</v>
      </c>
      <c r="F1086" s="37" t="s">
        <v>6</v>
      </c>
      <c r="G1086" s="37" t="s">
        <v>90</v>
      </c>
      <c r="H1086" s="37" t="s">
        <v>627</v>
      </c>
      <c r="I1086" s="37" t="s">
        <v>490</v>
      </c>
      <c r="J1086" s="39"/>
      <c r="K1086" s="6">
        <f>K1087</f>
        <v>9756.1</v>
      </c>
    </row>
    <row r="1087" spans="1:11" s="26" customFormat="1" ht="31.2" x14ac:dyDescent="0.25">
      <c r="A1087" s="93"/>
      <c r="B1087" s="1" t="s">
        <v>121</v>
      </c>
      <c r="C1087" s="2">
        <v>926</v>
      </c>
      <c r="D1087" s="39" t="s">
        <v>17</v>
      </c>
      <c r="E1087" s="39" t="s">
        <v>2</v>
      </c>
      <c r="F1087" s="37" t="s">
        <v>6</v>
      </c>
      <c r="G1087" s="37" t="s">
        <v>90</v>
      </c>
      <c r="H1087" s="37" t="s">
        <v>627</v>
      </c>
      <c r="I1087" s="37" t="s">
        <v>490</v>
      </c>
      <c r="J1087" s="39" t="s">
        <v>59</v>
      </c>
      <c r="K1087" s="6">
        <v>9756.1</v>
      </c>
    </row>
    <row r="1088" spans="1:11" s="26" customFormat="1" ht="31.2" x14ac:dyDescent="0.25">
      <c r="A1088" s="93"/>
      <c r="B1088" s="3" t="s">
        <v>630</v>
      </c>
      <c r="C1088" s="2">
        <v>926</v>
      </c>
      <c r="D1088" s="39" t="s">
        <v>17</v>
      </c>
      <c r="E1088" s="39" t="s">
        <v>2</v>
      </c>
      <c r="F1088" s="37" t="s">
        <v>6</v>
      </c>
      <c r="G1088" s="37" t="s">
        <v>90</v>
      </c>
      <c r="H1088" s="37" t="s">
        <v>627</v>
      </c>
      <c r="I1088" s="37" t="s">
        <v>628</v>
      </c>
      <c r="J1088" s="39"/>
      <c r="K1088" s="6">
        <f>K1089</f>
        <v>1587.8</v>
      </c>
    </row>
    <row r="1089" spans="1:11" s="26" customFormat="1" ht="31.2" x14ac:dyDescent="0.25">
      <c r="A1089" s="93"/>
      <c r="B1089" s="1" t="s">
        <v>121</v>
      </c>
      <c r="C1089" s="2">
        <v>926</v>
      </c>
      <c r="D1089" s="39" t="s">
        <v>17</v>
      </c>
      <c r="E1089" s="39" t="s">
        <v>2</v>
      </c>
      <c r="F1089" s="37" t="s">
        <v>6</v>
      </c>
      <c r="G1089" s="37" t="s">
        <v>90</v>
      </c>
      <c r="H1089" s="37" t="s">
        <v>627</v>
      </c>
      <c r="I1089" s="37" t="s">
        <v>628</v>
      </c>
      <c r="J1089" s="39" t="s">
        <v>59</v>
      </c>
      <c r="K1089" s="6">
        <f>1755.8-168</f>
        <v>1587.8</v>
      </c>
    </row>
    <row r="1090" spans="1:11" s="26" customFormat="1" x14ac:dyDescent="0.25">
      <c r="A1090" s="93"/>
      <c r="B1090" s="40" t="s">
        <v>383</v>
      </c>
      <c r="C1090" s="2">
        <v>926</v>
      </c>
      <c r="D1090" s="39" t="s">
        <v>17</v>
      </c>
      <c r="E1090" s="39" t="s">
        <v>2</v>
      </c>
      <c r="F1090" s="37" t="s">
        <v>30</v>
      </c>
      <c r="G1090" s="37"/>
      <c r="H1090" s="37"/>
      <c r="I1090" s="37"/>
      <c r="J1090" s="39"/>
      <c r="K1090" s="6">
        <f>K1091+K1095</f>
        <v>587.79999999999995</v>
      </c>
    </row>
    <row r="1091" spans="1:11" s="26" customFormat="1" ht="31.2" x14ac:dyDescent="0.25">
      <c r="A1091" s="93"/>
      <c r="B1091" s="58" t="s">
        <v>384</v>
      </c>
      <c r="C1091" s="2">
        <v>926</v>
      </c>
      <c r="D1091" s="39" t="s">
        <v>17</v>
      </c>
      <c r="E1091" s="39" t="s">
        <v>2</v>
      </c>
      <c r="F1091" s="37" t="s">
        <v>30</v>
      </c>
      <c r="G1091" s="37" t="s">
        <v>90</v>
      </c>
      <c r="H1091" s="37"/>
      <c r="I1091" s="37"/>
      <c r="J1091" s="39"/>
      <c r="K1091" s="6">
        <f>K1092</f>
        <v>0</v>
      </c>
    </row>
    <row r="1092" spans="1:11" s="26" customFormat="1" ht="46.8" x14ac:dyDescent="0.25">
      <c r="A1092" s="93"/>
      <c r="B1092" s="40" t="s">
        <v>390</v>
      </c>
      <c r="C1092" s="2">
        <v>926</v>
      </c>
      <c r="D1092" s="39" t="s">
        <v>17</v>
      </c>
      <c r="E1092" s="39" t="s">
        <v>2</v>
      </c>
      <c r="F1092" s="37" t="s">
        <v>30</v>
      </c>
      <c r="G1092" s="37" t="s">
        <v>90</v>
      </c>
      <c r="H1092" s="37" t="s">
        <v>2</v>
      </c>
      <c r="I1092" s="37"/>
      <c r="J1092" s="39"/>
      <c r="K1092" s="6">
        <f>K1093</f>
        <v>0</v>
      </c>
    </row>
    <row r="1093" spans="1:11" s="26" customFormat="1" ht="31.2" x14ac:dyDescent="0.25">
      <c r="A1093" s="93"/>
      <c r="B1093" s="40" t="s">
        <v>321</v>
      </c>
      <c r="C1093" s="2">
        <v>926</v>
      </c>
      <c r="D1093" s="39" t="s">
        <v>17</v>
      </c>
      <c r="E1093" s="39" t="s">
        <v>2</v>
      </c>
      <c r="F1093" s="37" t="s">
        <v>30</v>
      </c>
      <c r="G1093" s="37" t="s">
        <v>90</v>
      </c>
      <c r="H1093" s="37" t="s">
        <v>2</v>
      </c>
      <c r="I1093" s="37" t="s">
        <v>322</v>
      </c>
      <c r="J1093" s="39"/>
      <c r="K1093" s="6">
        <f>K1094</f>
        <v>0</v>
      </c>
    </row>
    <row r="1094" spans="1:11" s="26" customFormat="1" ht="31.2" x14ac:dyDescent="0.25">
      <c r="A1094" s="93"/>
      <c r="B1094" s="1" t="s">
        <v>123</v>
      </c>
      <c r="C1094" s="2">
        <v>926</v>
      </c>
      <c r="D1094" s="39" t="s">
        <v>17</v>
      </c>
      <c r="E1094" s="39" t="s">
        <v>2</v>
      </c>
      <c r="F1094" s="37" t="s">
        <v>30</v>
      </c>
      <c r="G1094" s="37" t="s">
        <v>90</v>
      </c>
      <c r="H1094" s="37" t="s">
        <v>2</v>
      </c>
      <c r="I1094" s="37" t="s">
        <v>322</v>
      </c>
      <c r="J1094" s="39" t="s">
        <v>49</v>
      </c>
      <c r="K1094" s="6">
        <f>154.4+433.4-587.8</f>
        <v>0</v>
      </c>
    </row>
    <row r="1095" spans="1:11" s="26" customFormat="1" x14ac:dyDescent="0.25">
      <c r="A1095" s="93"/>
      <c r="B1095" s="1" t="s">
        <v>509</v>
      </c>
      <c r="C1095" s="78">
        <v>926</v>
      </c>
      <c r="D1095" s="77" t="s">
        <v>17</v>
      </c>
      <c r="E1095" s="77" t="s">
        <v>2</v>
      </c>
      <c r="F1095" s="37" t="s">
        <v>30</v>
      </c>
      <c r="G1095" s="37" t="s">
        <v>129</v>
      </c>
      <c r="H1095" s="37"/>
      <c r="I1095" s="37"/>
      <c r="J1095" s="77"/>
      <c r="K1095" s="6">
        <f>K1096</f>
        <v>587.79999999999995</v>
      </c>
    </row>
    <row r="1096" spans="1:11" s="26" customFormat="1" x14ac:dyDescent="0.25">
      <c r="A1096" s="93"/>
      <c r="B1096" s="1" t="s">
        <v>464</v>
      </c>
      <c r="C1096" s="78">
        <v>926</v>
      </c>
      <c r="D1096" s="77" t="s">
        <v>17</v>
      </c>
      <c r="E1096" s="77" t="s">
        <v>2</v>
      </c>
      <c r="F1096" s="37" t="s">
        <v>30</v>
      </c>
      <c r="G1096" s="37" t="s">
        <v>129</v>
      </c>
      <c r="H1096" s="37" t="s">
        <v>2</v>
      </c>
      <c r="I1096" s="37"/>
      <c r="J1096" s="77"/>
      <c r="K1096" s="6">
        <f>K1097</f>
        <v>587.79999999999995</v>
      </c>
    </row>
    <row r="1097" spans="1:11" s="26" customFormat="1" ht="31.2" x14ac:dyDescent="0.25">
      <c r="A1097" s="93"/>
      <c r="B1097" s="1" t="s">
        <v>321</v>
      </c>
      <c r="C1097" s="78">
        <v>926</v>
      </c>
      <c r="D1097" s="77" t="s">
        <v>17</v>
      </c>
      <c r="E1097" s="77" t="s">
        <v>2</v>
      </c>
      <c r="F1097" s="37" t="s">
        <v>30</v>
      </c>
      <c r="G1097" s="37" t="s">
        <v>129</v>
      </c>
      <c r="H1097" s="37" t="s">
        <v>2</v>
      </c>
      <c r="I1097" s="37" t="s">
        <v>322</v>
      </c>
      <c r="J1097" s="77"/>
      <c r="K1097" s="6">
        <f>K1098</f>
        <v>587.79999999999995</v>
      </c>
    </row>
    <row r="1098" spans="1:11" s="26" customFormat="1" ht="31.2" x14ac:dyDescent="0.25">
      <c r="A1098" s="93"/>
      <c r="B1098" s="1" t="s">
        <v>123</v>
      </c>
      <c r="C1098" s="78">
        <v>926</v>
      </c>
      <c r="D1098" s="77" t="s">
        <v>17</v>
      </c>
      <c r="E1098" s="77" t="s">
        <v>2</v>
      </c>
      <c r="F1098" s="37" t="s">
        <v>30</v>
      </c>
      <c r="G1098" s="37" t="s">
        <v>129</v>
      </c>
      <c r="H1098" s="37" t="s">
        <v>2</v>
      </c>
      <c r="I1098" s="37" t="s">
        <v>322</v>
      </c>
      <c r="J1098" s="77" t="s">
        <v>49</v>
      </c>
      <c r="K1098" s="6">
        <v>587.79999999999995</v>
      </c>
    </row>
    <row r="1099" spans="1:11" s="26" customFormat="1" ht="31.2" x14ac:dyDescent="0.25">
      <c r="A1099" s="93"/>
      <c r="B1099" s="1" t="s">
        <v>285</v>
      </c>
      <c r="C1099" s="2">
        <v>926</v>
      </c>
      <c r="D1099" s="39" t="s">
        <v>17</v>
      </c>
      <c r="E1099" s="39" t="s">
        <v>2</v>
      </c>
      <c r="F1099" s="37" t="s">
        <v>70</v>
      </c>
      <c r="G1099" s="37"/>
      <c r="H1099" s="37"/>
      <c r="I1099" s="37"/>
      <c r="J1099" s="39"/>
      <c r="K1099" s="6">
        <f>K1100</f>
        <v>106.7</v>
      </c>
    </row>
    <row r="1100" spans="1:11" s="26" customFormat="1" ht="31.2" x14ac:dyDescent="0.25">
      <c r="A1100" s="93"/>
      <c r="B1100" s="1" t="s">
        <v>339</v>
      </c>
      <c r="C1100" s="2">
        <v>926</v>
      </c>
      <c r="D1100" s="39" t="s">
        <v>17</v>
      </c>
      <c r="E1100" s="39" t="s">
        <v>2</v>
      </c>
      <c r="F1100" s="37" t="s">
        <v>70</v>
      </c>
      <c r="G1100" s="38">
        <v>2</v>
      </c>
      <c r="H1100" s="37"/>
      <c r="I1100" s="37"/>
      <c r="J1100" s="37"/>
      <c r="K1100" s="6">
        <f>K1101</f>
        <v>106.7</v>
      </c>
    </row>
    <row r="1101" spans="1:11" s="26" customFormat="1" ht="78" x14ac:dyDescent="0.25">
      <c r="A1101" s="93"/>
      <c r="B1101" s="59" t="s">
        <v>518</v>
      </c>
      <c r="C1101" s="2">
        <v>926</v>
      </c>
      <c r="D1101" s="39" t="s">
        <v>17</v>
      </c>
      <c r="E1101" s="39" t="s">
        <v>2</v>
      </c>
      <c r="F1101" s="37" t="s">
        <v>70</v>
      </c>
      <c r="G1101" s="38">
        <v>2</v>
      </c>
      <c r="H1101" s="37" t="s">
        <v>2</v>
      </c>
      <c r="I1101" s="37"/>
      <c r="J1101" s="37"/>
      <c r="K1101" s="6">
        <f>K1102</f>
        <v>106.7</v>
      </c>
    </row>
    <row r="1102" spans="1:11" s="26" customFormat="1" ht="46.8" x14ac:dyDescent="0.25">
      <c r="A1102" s="93"/>
      <c r="B1102" s="1" t="s">
        <v>521</v>
      </c>
      <c r="C1102" s="2">
        <v>926</v>
      </c>
      <c r="D1102" s="39" t="s">
        <v>17</v>
      </c>
      <c r="E1102" s="39" t="s">
        <v>2</v>
      </c>
      <c r="F1102" s="37" t="s">
        <v>70</v>
      </c>
      <c r="G1102" s="38">
        <v>2</v>
      </c>
      <c r="H1102" s="37" t="s">
        <v>2</v>
      </c>
      <c r="I1102" s="37" t="s">
        <v>156</v>
      </c>
      <c r="J1102" s="37"/>
      <c r="K1102" s="6">
        <f>K1103</f>
        <v>106.7</v>
      </c>
    </row>
    <row r="1103" spans="1:11" s="26" customFormat="1" ht="31.2" x14ac:dyDescent="0.25">
      <c r="A1103" s="93"/>
      <c r="B1103" s="1" t="s">
        <v>123</v>
      </c>
      <c r="C1103" s="2">
        <v>926</v>
      </c>
      <c r="D1103" s="39" t="s">
        <v>17</v>
      </c>
      <c r="E1103" s="39" t="s">
        <v>2</v>
      </c>
      <c r="F1103" s="37" t="s">
        <v>70</v>
      </c>
      <c r="G1103" s="38">
        <v>2</v>
      </c>
      <c r="H1103" s="37" t="s">
        <v>2</v>
      </c>
      <c r="I1103" s="37" t="s">
        <v>156</v>
      </c>
      <c r="J1103" s="37" t="s">
        <v>49</v>
      </c>
      <c r="K1103" s="6">
        <v>106.7</v>
      </c>
    </row>
    <row r="1104" spans="1:11" s="26" customFormat="1" ht="31.2" x14ac:dyDescent="0.25">
      <c r="A1104" s="93"/>
      <c r="B1104" s="1" t="s">
        <v>196</v>
      </c>
      <c r="C1104" s="39" t="s">
        <v>472</v>
      </c>
      <c r="D1104" s="37" t="s">
        <v>17</v>
      </c>
      <c r="E1104" s="37" t="s">
        <v>2</v>
      </c>
      <c r="F1104" s="37" t="s">
        <v>40</v>
      </c>
      <c r="G1104" s="38"/>
      <c r="H1104" s="37"/>
      <c r="I1104" s="37"/>
      <c r="J1104" s="37"/>
      <c r="K1104" s="6">
        <f>K1110+K1105</f>
        <v>43229.8</v>
      </c>
    </row>
    <row r="1105" spans="1:11" s="26" customFormat="1" x14ac:dyDescent="0.25">
      <c r="A1105" s="93"/>
      <c r="B1105" s="40" t="s">
        <v>164</v>
      </c>
      <c r="C1105" s="39" t="s">
        <v>472</v>
      </c>
      <c r="D1105" s="37" t="s">
        <v>17</v>
      </c>
      <c r="E1105" s="37" t="s">
        <v>2</v>
      </c>
      <c r="F1105" s="39" t="s">
        <v>40</v>
      </c>
      <c r="G1105" s="2">
        <v>2</v>
      </c>
      <c r="H1105" s="39"/>
      <c r="I1105" s="39"/>
      <c r="J1105" s="39"/>
      <c r="K1105" s="6">
        <f>K1106</f>
        <v>12191.7</v>
      </c>
    </row>
    <row r="1106" spans="1:11" s="26" customFormat="1" ht="31.2" x14ac:dyDescent="0.25">
      <c r="A1106" s="93"/>
      <c r="B1106" s="40" t="s">
        <v>195</v>
      </c>
      <c r="C1106" s="39" t="s">
        <v>472</v>
      </c>
      <c r="D1106" s="37" t="s">
        <v>17</v>
      </c>
      <c r="E1106" s="37" t="s">
        <v>2</v>
      </c>
      <c r="F1106" s="39" t="s">
        <v>40</v>
      </c>
      <c r="G1106" s="2">
        <v>2</v>
      </c>
      <c r="H1106" s="39" t="s">
        <v>4</v>
      </c>
      <c r="I1106" s="39"/>
      <c r="J1106" s="39"/>
      <c r="K1106" s="6">
        <f>K1107</f>
        <v>12191.7</v>
      </c>
    </row>
    <row r="1107" spans="1:11" s="26" customFormat="1" ht="46.8" x14ac:dyDescent="0.25">
      <c r="A1107" s="93"/>
      <c r="B1107" s="40" t="s">
        <v>219</v>
      </c>
      <c r="C1107" s="39" t="s">
        <v>472</v>
      </c>
      <c r="D1107" s="37" t="s">
        <v>17</v>
      </c>
      <c r="E1107" s="37" t="s">
        <v>2</v>
      </c>
      <c r="F1107" s="39" t="s">
        <v>40</v>
      </c>
      <c r="G1107" s="2">
        <v>2</v>
      </c>
      <c r="H1107" s="39" t="s">
        <v>4</v>
      </c>
      <c r="I1107" s="39" t="s">
        <v>194</v>
      </c>
      <c r="J1107" s="39"/>
      <c r="K1107" s="6">
        <f>K1108+K1109</f>
        <v>12191.7</v>
      </c>
    </row>
    <row r="1108" spans="1:11" s="26" customFormat="1" ht="31.2" x14ac:dyDescent="0.25">
      <c r="A1108" s="93"/>
      <c r="B1108" s="1" t="s">
        <v>123</v>
      </c>
      <c r="C1108" s="39" t="s">
        <v>472</v>
      </c>
      <c r="D1108" s="37" t="s">
        <v>17</v>
      </c>
      <c r="E1108" s="37" t="s">
        <v>2</v>
      </c>
      <c r="F1108" s="39" t="s">
        <v>40</v>
      </c>
      <c r="G1108" s="2">
        <v>2</v>
      </c>
      <c r="H1108" s="39" t="s">
        <v>4</v>
      </c>
      <c r="I1108" s="39" t="s">
        <v>194</v>
      </c>
      <c r="J1108" s="39" t="s">
        <v>49</v>
      </c>
      <c r="K1108" s="6">
        <f>7370.5+200.1</f>
        <v>7570.6</v>
      </c>
    </row>
    <row r="1109" spans="1:11" s="26" customFormat="1" ht="31.2" x14ac:dyDescent="0.25">
      <c r="A1109" s="93"/>
      <c r="B1109" s="43" t="s">
        <v>121</v>
      </c>
      <c r="C1109" s="39" t="s">
        <v>472</v>
      </c>
      <c r="D1109" s="37" t="s">
        <v>17</v>
      </c>
      <c r="E1109" s="37" t="s">
        <v>2</v>
      </c>
      <c r="F1109" s="39" t="s">
        <v>40</v>
      </c>
      <c r="G1109" s="2">
        <v>2</v>
      </c>
      <c r="H1109" s="39" t="s">
        <v>4</v>
      </c>
      <c r="I1109" s="39" t="s">
        <v>194</v>
      </c>
      <c r="J1109" s="39" t="s">
        <v>59</v>
      </c>
      <c r="K1109" s="6">
        <f>4621.1</f>
        <v>4621.1000000000004</v>
      </c>
    </row>
    <row r="1110" spans="1:11" s="26" customFormat="1" x14ac:dyDescent="0.25">
      <c r="A1110" s="93"/>
      <c r="B1110" s="1" t="s">
        <v>388</v>
      </c>
      <c r="C1110" s="39" t="s">
        <v>472</v>
      </c>
      <c r="D1110" s="37" t="s">
        <v>17</v>
      </c>
      <c r="E1110" s="37" t="s">
        <v>2</v>
      </c>
      <c r="F1110" s="37" t="s">
        <v>40</v>
      </c>
      <c r="G1110" s="37" t="s">
        <v>139</v>
      </c>
      <c r="H1110" s="37"/>
      <c r="I1110" s="37"/>
      <c r="J1110" s="39"/>
      <c r="K1110" s="6">
        <f>SUM(K1111)</f>
        <v>31038.1</v>
      </c>
    </row>
    <row r="1111" spans="1:11" s="26" customFormat="1" ht="31.5" customHeight="1" x14ac:dyDescent="0.25">
      <c r="A1111" s="93"/>
      <c r="B1111" s="1" t="s">
        <v>391</v>
      </c>
      <c r="C1111" s="39" t="s">
        <v>472</v>
      </c>
      <c r="D1111" s="37" t="s">
        <v>17</v>
      </c>
      <c r="E1111" s="37" t="s">
        <v>2</v>
      </c>
      <c r="F1111" s="37" t="s">
        <v>40</v>
      </c>
      <c r="G1111" s="37" t="s">
        <v>139</v>
      </c>
      <c r="H1111" s="37" t="s">
        <v>2</v>
      </c>
      <c r="I1111" s="37"/>
      <c r="J1111" s="39"/>
      <c r="K1111" s="6">
        <f>SUM(K1112)</f>
        <v>31038.1</v>
      </c>
    </row>
    <row r="1112" spans="1:11" s="26" customFormat="1" ht="47.25" customHeight="1" x14ac:dyDescent="0.25">
      <c r="A1112" s="93"/>
      <c r="B1112" s="1" t="s">
        <v>392</v>
      </c>
      <c r="C1112" s="39" t="s">
        <v>472</v>
      </c>
      <c r="D1112" s="37" t="s">
        <v>17</v>
      </c>
      <c r="E1112" s="37" t="s">
        <v>2</v>
      </c>
      <c r="F1112" s="37" t="s">
        <v>40</v>
      </c>
      <c r="G1112" s="37" t="s">
        <v>139</v>
      </c>
      <c r="H1112" s="37" t="s">
        <v>2</v>
      </c>
      <c r="I1112" s="37" t="s">
        <v>151</v>
      </c>
      <c r="J1112" s="39"/>
      <c r="K1112" s="6">
        <f>SUM(K1114+K1113)</f>
        <v>31038.1</v>
      </c>
    </row>
    <row r="1113" spans="1:11" s="26" customFormat="1" ht="37.200000000000003" customHeight="1" x14ac:dyDescent="0.25">
      <c r="A1113" s="93"/>
      <c r="B1113" s="1" t="s">
        <v>123</v>
      </c>
      <c r="C1113" s="39" t="s">
        <v>472</v>
      </c>
      <c r="D1113" s="37" t="s">
        <v>17</v>
      </c>
      <c r="E1113" s="37" t="s">
        <v>2</v>
      </c>
      <c r="F1113" s="37" t="s">
        <v>40</v>
      </c>
      <c r="G1113" s="37" t="s">
        <v>139</v>
      </c>
      <c r="H1113" s="37" t="s">
        <v>2</v>
      </c>
      <c r="I1113" s="37" t="s">
        <v>151</v>
      </c>
      <c r="J1113" s="39" t="s">
        <v>49</v>
      </c>
      <c r="K1113" s="6">
        <f>3348+14391+761+690.5+590.1-82.5+948.9-198.3</f>
        <v>20448.7</v>
      </c>
    </row>
    <row r="1114" spans="1:11" s="26" customFormat="1" ht="31.2" x14ac:dyDescent="0.25">
      <c r="A1114" s="93"/>
      <c r="B1114" s="43" t="s">
        <v>121</v>
      </c>
      <c r="C1114" s="39" t="s">
        <v>472</v>
      </c>
      <c r="D1114" s="37" t="s">
        <v>17</v>
      </c>
      <c r="E1114" s="37" t="s">
        <v>2</v>
      </c>
      <c r="F1114" s="37" t="s">
        <v>40</v>
      </c>
      <c r="G1114" s="37" t="s">
        <v>139</v>
      </c>
      <c r="H1114" s="37" t="s">
        <v>2</v>
      </c>
      <c r="I1114" s="37" t="s">
        <v>151</v>
      </c>
      <c r="J1114" s="39" t="s">
        <v>59</v>
      </c>
      <c r="K1114" s="6">
        <f>6694.2+17307-14391+1144.8-165.6</f>
        <v>10589.4</v>
      </c>
    </row>
    <row r="1115" spans="1:11" s="26" customFormat="1" x14ac:dyDescent="0.25">
      <c r="A1115" s="93"/>
      <c r="B1115" s="3" t="s">
        <v>342</v>
      </c>
      <c r="C1115" s="2">
        <v>926</v>
      </c>
      <c r="D1115" s="39" t="s">
        <v>17</v>
      </c>
      <c r="E1115" s="39" t="s">
        <v>2</v>
      </c>
      <c r="F1115" s="37" t="s">
        <v>186</v>
      </c>
      <c r="G1115" s="37"/>
      <c r="H1115" s="37"/>
      <c r="I1115" s="37"/>
      <c r="J1115" s="39"/>
      <c r="K1115" s="6">
        <f>SUM(K1116)</f>
        <v>1232.8</v>
      </c>
    </row>
    <row r="1116" spans="1:11" s="26" customFormat="1" x14ac:dyDescent="0.25">
      <c r="A1116" s="93"/>
      <c r="B1116" s="3" t="s">
        <v>343</v>
      </c>
      <c r="C1116" s="2">
        <v>926</v>
      </c>
      <c r="D1116" s="39" t="s">
        <v>17</v>
      </c>
      <c r="E1116" s="39" t="s">
        <v>2</v>
      </c>
      <c r="F1116" s="37" t="s">
        <v>186</v>
      </c>
      <c r="G1116" s="37" t="s">
        <v>90</v>
      </c>
      <c r="H1116" s="37"/>
      <c r="I1116" s="37"/>
      <c r="J1116" s="39"/>
      <c r="K1116" s="6">
        <f>SUM(K1117)</f>
        <v>1232.8</v>
      </c>
    </row>
    <row r="1117" spans="1:11" s="26" customFormat="1" ht="31.2" x14ac:dyDescent="0.25">
      <c r="A1117" s="93"/>
      <c r="B1117" s="3" t="s">
        <v>187</v>
      </c>
      <c r="C1117" s="2">
        <v>926</v>
      </c>
      <c r="D1117" s="39" t="s">
        <v>17</v>
      </c>
      <c r="E1117" s="39" t="s">
        <v>2</v>
      </c>
      <c r="F1117" s="37" t="s">
        <v>186</v>
      </c>
      <c r="G1117" s="37" t="s">
        <v>90</v>
      </c>
      <c r="H1117" s="37" t="s">
        <v>2</v>
      </c>
      <c r="I1117" s="37"/>
      <c r="J1117" s="39"/>
      <c r="K1117" s="6">
        <f>SUM(K1118+K1120)</f>
        <v>1232.8</v>
      </c>
    </row>
    <row r="1118" spans="1:11" s="26" customFormat="1" ht="140.4" x14ac:dyDescent="0.25">
      <c r="A1118" s="93"/>
      <c r="B1118" s="1" t="s">
        <v>520</v>
      </c>
      <c r="C1118" s="2">
        <v>926</v>
      </c>
      <c r="D1118" s="39" t="s">
        <v>17</v>
      </c>
      <c r="E1118" s="39" t="s">
        <v>2</v>
      </c>
      <c r="F1118" s="37" t="s">
        <v>186</v>
      </c>
      <c r="G1118" s="37" t="s">
        <v>90</v>
      </c>
      <c r="H1118" s="37" t="s">
        <v>2</v>
      </c>
      <c r="I1118" s="37" t="s">
        <v>436</v>
      </c>
      <c r="J1118" s="39"/>
      <c r="K1118" s="6">
        <f>SUM(K1119:K1119)</f>
        <v>1175.5</v>
      </c>
    </row>
    <row r="1119" spans="1:11" s="26" customFormat="1" ht="31.2" x14ac:dyDescent="0.25">
      <c r="A1119" s="93"/>
      <c r="B1119" s="43" t="s">
        <v>121</v>
      </c>
      <c r="C1119" s="2">
        <v>926</v>
      </c>
      <c r="D1119" s="39" t="s">
        <v>17</v>
      </c>
      <c r="E1119" s="39" t="s">
        <v>2</v>
      </c>
      <c r="F1119" s="37" t="s">
        <v>186</v>
      </c>
      <c r="G1119" s="37" t="s">
        <v>90</v>
      </c>
      <c r="H1119" s="37" t="s">
        <v>2</v>
      </c>
      <c r="I1119" s="37" t="s">
        <v>436</v>
      </c>
      <c r="J1119" s="39" t="s">
        <v>59</v>
      </c>
      <c r="K1119" s="6">
        <f>1010.9+221.9-57.3</f>
        <v>1175.5</v>
      </c>
    </row>
    <row r="1120" spans="1:11" s="26" customFormat="1" ht="156" x14ac:dyDescent="0.25">
      <c r="A1120" s="93"/>
      <c r="B1120" s="1" t="s">
        <v>632</v>
      </c>
      <c r="C1120" s="2">
        <v>926</v>
      </c>
      <c r="D1120" s="39" t="s">
        <v>17</v>
      </c>
      <c r="E1120" s="39" t="s">
        <v>2</v>
      </c>
      <c r="F1120" s="37" t="s">
        <v>186</v>
      </c>
      <c r="G1120" s="37" t="s">
        <v>90</v>
      </c>
      <c r="H1120" s="37" t="s">
        <v>2</v>
      </c>
      <c r="I1120" s="37" t="s">
        <v>631</v>
      </c>
      <c r="J1120" s="39"/>
      <c r="K1120" s="6">
        <f>K1121</f>
        <v>57.3</v>
      </c>
    </row>
    <row r="1121" spans="1:11" s="26" customFormat="1" ht="31.2" x14ac:dyDescent="0.25">
      <c r="A1121" s="93"/>
      <c r="B1121" s="43" t="s">
        <v>121</v>
      </c>
      <c r="C1121" s="2">
        <v>926</v>
      </c>
      <c r="D1121" s="39" t="s">
        <v>17</v>
      </c>
      <c r="E1121" s="39" t="s">
        <v>2</v>
      </c>
      <c r="F1121" s="37" t="s">
        <v>186</v>
      </c>
      <c r="G1121" s="37" t="s">
        <v>90</v>
      </c>
      <c r="H1121" s="37" t="s">
        <v>2</v>
      </c>
      <c r="I1121" s="37" t="s">
        <v>631</v>
      </c>
      <c r="J1121" s="39" t="s">
        <v>59</v>
      </c>
      <c r="K1121" s="6">
        <v>57.3</v>
      </c>
    </row>
    <row r="1122" spans="1:11" s="26" customFormat="1" x14ac:dyDescent="0.25">
      <c r="A1122" s="93"/>
      <c r="B1122" s="1" t="s">
        <v>450</v>
      </c>
      <c r="C1122" s="2">
        <v>926</v>
      </c>
      <c r="D1122" s="39" t="s">
        <v>17</v>
      </c>
      <c r="E1122" s="39" t="s">
        <v>4</v>
      </c>
      <c r="F1122" s="37"/>
      <c r="G1122" s="37"/>
      <c r="H1122" s="37"/>
      <c r="I1122" s="37"/>
      <c r="J1122" s="39"/>
      <c r="K1122" s="6">
        <f>SUM(K1123+K1131)</f>
        <v>25167.800000000003</v>
      </c>
    </row>
    <row r="1123" spans="1:11" s="26" customFormat="1" x14ac:dyDescent="0.25">
      <c r="A1123" s="93"/>
      <c r="B1123" s="1" t="s">
        <v>451</v>
      </c>
      <c r="C1123" s="2">
        <v>926</v>
      </c>
      <c r="D1123" s="39" t="s">
        <v>17</v>
      </c>
      <c r="E1123" s="39" t="s">
        <v>4</v>
      </c>
      <c r="F1123" s="37" t="s">
        <v>6</v>
      </c>
      <c r="G1123" s="37"/>
      <c r="H1123" s="37"/>
      <c r="I1123" s="37"/>
      <c r="J1123" s="39"/>
      <c r="K1123" s="6">
        <f>SUM(K1124)</f>
        <v>23415.800000000003</v>
      </c>
    </row>
    <row r="1124" spans="1:11" s="26" customFormat="1" x14ac:dyDescent="0.25">
      <c r="A1124" s="93"/>
      <c r="B1124" s="40" t="s">
        <v>396</v>
      </c>
      <c r="C1124" s="2">
        <v>926</v>
      </c>
      <c r="D1124" s="39" t="s">
        <v>17</v>
      </c>
      <c r="E1124" s="39" t="s">
        <v>4</v>
      </c>
      <c r="F1124" s="37" t="s">
        <v>6</v>
      </c>
      <c r="G1124" s="37" t="s">
        <v>90</v>
      </c>
      <c r="H1124" s="37"/>
      <c r="I1124" s="37"/>
      <c r="J1124" s="39"/>
      <c r="K1124" s="6">
        <f>SUM(K1125+K1128)</f>
        <v>23415.800000000003</v>
      </c>
    </row>
    <row r="1125" spans="1:11" s="26" customFormat="1" ht="46.8" x14ac:dyDescent="0.25">
      <c r="A1125" s="93"/>
      <c r="B1125" s="1" t="s">
        <v>452</v>
      </c>
      <c r="C1125" s="2">
        <v>926</v>
      </c>
      <c r="D1125" s="39" t="s">
        <v>17</v>
      </c>
      <c r="E1125" s="39" t="s">
        <v>4</v>
      </c>
      <c r="F1125" s="37" t="s">
        <v>6</v>
      </c>
      <c r="G1125" s="37" t="s">
        <v>90</v>
      </c>
      <c r="H1125" s="39" t="s">
        <v>4</v>
      </c>
      <c r="I1125" s="37"/>
      <c r="J1125" s="39"/>
      <c r="K1125" s="6">
        <f>SUM(K1126)</f>
        <v>23083.100000000002</v>
      </c>
    </row>
    <row r="1126" spans="1:11" s="26" customFormat="1" ht="46.8" x14ac:dyDescent="0.25">
      <c r="A1126" s="93"/>
      <c r="B1126" s="1" t="s">
        <v>66</v>
      </c>
      <c r="C1126" s="2">
        <v>926</v>
      </c>
      <c r="D1126" s="39" t="s">
        <v>17</v>
      </c>
      <c r="E1126" s="39" t="s">
        <v>4</v>
      </c>
      <c r="F1126" s="37" t="s">
        <v>6</v>
      </c>
      <c r="G1126" s="37" t="s">
        <v>90</v>
      </c>
      <c r="H1126" s="39" t="s">
        <v>4</v>
      </c>
      <c r="I1126" s="37" t="s">
        <v>85</v>
      </c>
      <c r="J1126" s="39"/>
      <c r="K1126" s="6">
        <f>SUM(K1127)</f>
        <v>23083.100000000002</v>
      </c>
    </row>
    <row r="1127" spans="1:11" s="26" customFormat="1" ht="31.2" x14ac:dyDescent="0.25">
      <c r="A1127" s="93"/>
      <c r="B1127" s="43" t="s">
        <v>121</v>
      </c>
      <c r="C1127" s="2">
        <v>926</v>
      </c>
      <c r="D1127" s="39" t="s">
        <v>17</v>
      </c>
      <c r="E1127" s="39" t="s">
        <v>4</v>
      </c>
      <c r="F1127" s="37" t="s">
        <v>6</v>
      </c>
      <c r="G1127" s="37" t="s">
        <v>90</v>
      </c>
      <c r="H1127" s="39" t="s">
        <v>4</v>
      </c>
      <c r="I1127" s="37" t="s">
        <v>85</v>
      </c>
      <c r="J1127" s="39" t="s">
        <v>59</v>
      </c>
      <c r="K1127" s="6">
        <f>22437.7+901.5-256.1</f>
        <v>23083.100000000002</v>
      </c>
    </row>
    <row r="1128" spans="1:11" s="26" customFormat="1" ht="156" x14ac:dyDescent="0.25">
      <c r="A1128" s="93"/>
      <c r="B1128" s="3" t="s">
        <v>458</v>
      </c>
      <c r="C1128" s="2">
        <v>926</v>
      </c>
      <c r="D1128" s="39" t="s">
        <v>17</v>
      </c>
      <c r="E1128" s="39" t="s">
        <v>4</v>
      </c>
      <c r="F1128" s="37" t="s">
        <v>6</v>
      </c>
      <c r="G1128" s="37" t="s">
        <v>90</v>
      </c>
      <c r="H1128" s="39" t="s">
        <v>6</v>
      </c>
      <c r="I1128" s="37"/>
      <c r="J1128" s="39"/>
      <c r="K1128" s="6">
        <f>SUM(K1129)</f>
        <v>332.7</v>
      </c>
    </row>
    <row r="1129" spans="1:11" s="26" customFormat="1" x14ac:dyDescent="0.25">
      <c r="A1129" s="93"/>
      <c r="B1129" s="1" t="s">
        <v>459</v>
      </c>
      <c r="C1129" s="2">
        <v>926</v>
      </c>
      <c r="D1129" s="39" t="s">
        <v>17</v>
      </c>
      <c r="E1129" s="39" t="s">
        <v>4</v>
      </c>
      <c r="F1129" s="37" t="s">
        <v>6</v>
      </c>
      <c r="G1129" s="37" t="s">
        <v>90</v>
      </c>
      <c r="H1129" s="39" t="s">
        <v>6</v>
      </c>
      <c r="I1129" s="37" t="s">
        <v>185</v>
      </c>
      <c r="J1129" s="39"/>
      <c r="K1129" s="6">
        <f>SUM(K1130)</f>
        <v>332.7</v>
      </c>
    </row>
    <row r="1130" spans="1:11" s="26" customFormat="1" ht="31.2" x14ac:dyDescent="0.25">
      <c r="A1130" s="93"/>
      <c r="B1130" s="43" t="s">
        <v>121</v>
      </c>
      <c r="C1130" s="2">
        <v>926</v>
      </c>
      <c r="D1130" s="39" t="s">
        <v>17</v>
      </c>
      <c r="E1130" s="39" t="s">
        <v>4</v>
      </c>
      <c r="F1130" s="37" t="s">
        <v>6</v>
      </c>
      <c r="G1130" s="37" t="s">
        <v>90</v>
      </c>
      <c r="H1130" s="39" t="s">
        <v>6</v>
      </c>
      <c r="I1130" s="37" t="s">
        <v>185</v>
      </c>
      <c r="J1130" s="39" t="s">
        <v>59</v>
      </c>
      <c r="K1130" s="6">
        <f>20+312.7</f>
        <v>332.7</v>
      </c>
    </row>
    <row r="1131" spans="1:11" s="26" customFormat="1" ht="31.2" x14ac:dyDescent="0.25">
      <c r="A1131" s="93"/>
      <c r="B1131" s="43" t="s">
        <v>196</v>
      </c>
      <c r="C1131" s="39" t="s">
        <v>472</v>
      </c>
      <c r="D1131" s="37" t="s">
        <v>17</v>
      </c>
      <c r="E1131" s="37" t="s">
        <v>4</v>
      </c>
      <c r="F1131" s="37" t="s">
        <v>40</v>
      </c>
      <c r="G1131" s="37"/>
      <c r="H1131" s="39"/>
      <c r="I1131" s="37"/>
      <c r="J1131" s="39"/>
      <c r="K1131" s="6">
        <f>K1132</f>
        <v>1752</v>
      </c>
    </row>
    <row r="1132" spans="1:11" s="26" customFormat="1" x14ac:dyDescent="0.25">
      <c r="A1132" s="93"/>
      <c r="B1132" s="1" t="s">
        <v>388</v>
      </c>
      <c r="C1132" s="39" t="s">
        <v>472</v>
      </c>
      <c r="D1132" s="37" t="s">
        <v>17</v>
      </c>
      <c r="E1132" s="37" t="s">
        <v>4</v>
      </c>
      <c r="F1132" s="37" t="s">
        <v>40</v>
      </c>
      <c r="G1132" s="37" t="s">
        <v>139</v>
      </c>
      <c r="H1132" s="37"/>
      <c r="I1132" s="37"/>
      <c r="J1132" s="39"/>
      <c r="K1132" s="6">
        <f>SUM(K1133)</f>
        <v>1752</v>
      </c>
    </row>
    <row r="1133" spans="1:11" s="26" customFormat="1" ht="33.75" customHeight="1" x14ac:dyDescent="0.25">
      <c r="A1133" s="93"/>
      <c r="B1133" s="1" t="s">
        <v>391</v>
      </c>
      <c r="C1133" s="39" t="s">
        <v>472</v>
      </c>
      <c r="D1133" s="37" t="s">
        <v>17</v>
      </c>
      <c r="E1133" s="37" t="s">
        <v>4</v>
      </c>
      <c r="F1133" s="37" t="s">
        <v>40</v>
      </c>
      <c r="G1133" s="37" t="s">
        <v>139</v>
      </c>
      <c r="H1133" s="37" t="s">
        <v>2</v>
      </c>
      <c r="I1133" s="37"/>
      <c r="J1133" s="39"/>
      <c r="K1133" s="6">
        <f>SUM(K1134)</f>
        <v>1752</v>
      </c>
    </row>
    <row r="1134" spans="1:11" s="26" customFormat="1" ht="47.25" customHeight="1" x14ac:dyDescent="0.25">
      <c r="A1134" s="93"/>
      <c r="B1134" s="1" t="s">
        <v>392</v>
      </c>
      <c r="C1134" s="39" t="s">
        <v>472</v>
      </c>
      <c r="D1134" s="37" t="s">
        <v>17</v>
      </c>
      <c r="E1134" s="37" t="s">
        <v>4</v>
      </c>
      <c r="F1134" s="37" t="s">
        <v>40</v>
      </c>
      <c r="G1134" s="37" t="s">
        <v>139</v>
      </c>
      <c r="H1134" s="37" t="s">
        <v>2</v>
      </c>
      <c r="I1134" s="37" t="s">
        <v>151</v>
      </c>
      <c r="J1134" s="39"/>
      <c r="K1134" s="6">
        <f>SUM(K1135)</f>
        <v>1752</v>
      </c>
    </row>
    <row r="1135" spans="1:11" s="26" customFormat="1" ht="31.2" x14ac:dyDescent="0.25">
      <c r="A1135" s="93"/>
      <c r="B1135" s="43" t="s">
        <v>121</v>
      </c>
      <c r="C1135" s="39" t="s">
        <v>472</v>
      </c>
      <c r="D1135" s="37" t="s">
        <v>17</v>
      </c>
      <c r="E1135" s="37" t="s">
        <v>4</v>
      </c>
      <c r="F1135" s="37" t="s">
        <v>40</v>
      </c>
      <c r="G1135" s="37" t="s">
        <v>139</v>
      </c>
      <c r="H1135" s="37" t="s">
        <v>2</v>
      </c>
      <c r="I1135" s="37" t="s">
        <v>151</v>
      </c>
      <c r="J1135" s="39" t="s">
        <v>59</v>
      </c>
      <c r="K1135" s="6">
        <f>432+1320</f>
        <v>1752</v>
      </c>
    </row>
    <row r="1136" spans="1:11" s="26" customFormat="1" x14ac:dyDescent="0.25">
      <c r="A1136" s="93"/>
      <c r="B1136" s="1" t="s">
        <v>45</v>
      </c>
      <c r="C1136" s="2">
        <v>926</v>
      </c>
      <c r="D1136" s="39" t="s">
        <v>17</v>
      </c>
      <c r="E1136" s="39" t="s">
        <v>6</v>
      </c>
      <c r="F1136" s="39"/>
      <c r="G1136" s="2"/>
      <c r="H1136" s="39"/>
      <c r="I1136" s="39"/>
      <c r="J1136" s="39"/>
      <c r="K1136" s="6">
        <f>SUM(+K1137+K1171)</f>
        <v>97592.8</v>
      </c>
    </row>
    <row r="1137" spans="1:11" s="26" customFormat="1" x14ac:dyDescent="0.25">
      <c r="A1137" s="93"/>
      <c r="B1137" s="40" t="s">
        <v>395</v>
      </c>
      <c r="C1137" s="2">
        <v>926</v>
      </c>
      <c r="D1137" s="39" t="s">
        <v>17</v>
      </c>
      <c r="E1137" s="39" t="s">
        <v>6</v>
      </c>
      <c r="F1137" s="39" t="s">
        <v>6</v>
      </c>
      <c r="G1137" s="2"/>
      <c r="H1137" s="39"/>
      <c r="I1137" s="39"/>
      <c r="J1137" s="39"/>
      <c r="K1137" s="6">
        <f>SUM(K1138)</f>
        <v>91975.1</v>
      </c>
    </row>
    <row r="1138" spans="1:11" s="26" customFormat="1" x14ac:dyDescent="0.25">
      <c r="A1138" s="93"/>
      <c r="B1138" s="40" t="s">
        <v>396</v>
      </c>
      <c r="C1138" s="2">
        <v>926</v>
      </c>
      <c r="D1138" s="39" t="s">
        <v>17</v>
      </c>
      <c r="E1138" s="39" t="s">
        <v>6</v>
      </c>
      <c r="F1138" s="39" t="s">
        <v>6</v>
      </c>
      <c r="G1138" s="2">
        <v>1</v>
      </c>
      <c r="H1138" s="39"/>
      <c r="I1138" s="39"/>
      <c r="J1138" s="39"/>
      <c r="K1138" s="6">
        <f>SUM(K1139+K1146+K1153+K1162+K1167)</f>
        <v>91975.1</v>
      </c>
    </row>
    <row r="1139" spans="1:11" s="26" customFormat="1" ht="31.2" x14ac:dyDescent="0.25">
      <c r="A1139" s="93"/>
      <c r="B1139" s="40" t="s">
        <v>504</v>
      </c>
      <c r="C1139" s="2">
        <v>926</v>
      </c>
      <c r="D1139" s="39" t="s">
        <v>17</v>
      </c>
      <c r="E1139" s="39" t="s">
        <v>6</v>
      </c>
      <c r="F1139" s="39" t="s">
        <v>6</v>
      </c>
      <c r="G1139" s="2">
        <v>1</v>
      </c>
      <c r="H1139" s="39" t="s">
        <v>2</v>
      </c>
      <c r="I1139" s="39"/>
      <c r="J1139" s="39"/>
      <c r="K1139" s="6">
        <f>SUM(K1140+K1144)</f>
        <v>8582.3000000000011</v>
      </c>
    </row>
    <row r="1140" spans="1:11" s="26" customFormat="1" x14ac:dyDescent="0.25">
      <c r="A1140" s="93"/>
      <c r="B1140" s="40" t="s">
        <v>60</v>
      </c>
      <c r="C1140" s="2">
        <v>926</v>
      </c>
      <c r="D1140" s="39" t="s">
        <v>17</v>
      </c>
      <c r="E1140" s="39" t="s">
        <v>6</v>
      </c>
      <c r="F1140" s="39" t="s">
        <v>6</v>
      </c>
      <c r="G1140" s="2">
        <v>1</v>
      </c>
      <c r="H1140" s="39" t="s">
        <v>2</v>
      </c>
      <c r="I1140" s="39" t="s">
        <v>78</v>
      </c>
      <c r="J1140" s="39"/>
      <c r="K1140" s="6">
        <f t="shared" ref="K1140" si="47">SUM(K1141:K1143)</f>
        <v>8554.6</v>
      </c>
    </row>
    <row r="1141" spans="1:11" s="26" customFormat="1" ht="51" customHeight="1" x14ac:dyDescent="0.25">
      <c r="A1141" s="93"/>
      <c r="B1141" s="1" t="s">
        <v>122</v>
      </c>
      <c r="C1141" s="2">
        <v>926</v>
      </c>
      <c r="D1141" s="39" t="s">
        <v>17</v>
      </c>
      <c r="E1141" s="39" t="s">
        <v>6</v>
      </c>
      <c r="F1141" s="39" t="s">
        <v>6</v>
      </c>
      <c r="G1141" s="2">
        <v>1</v>
      </c>
      <c r="H1141" s="39" t="s">
        <v>2</v>
      </c>
      <c r="I1141" s="39" t="s">
        <v>78</v>
      </c>
      <c r="J1141" s="39" t="s">
        <v>48</v>
      </c>
      <c r="K1141" s="6">
        <v>8252.4</v>
      </c>
    </row>
    <row r="1142" spans="1:11" s="26" customFormat="1" ht="31.2" x14ac:dyDescent="0.25">
      <c r="A1142" s="93"/>
      <c r="B1142" s="1" t="s">
        <v>123</v>
      </c>
      <c r="C1142" s="2">
        <v>926</v>
      </c>
      <c r="D1142" s="39" t="s">
        <v>17</v>
      </c>
      <c r="E1142" s="39" t="s">
        <v>6</v>
      </c>
      <c r="F1142" s="39" t="s">
        <v>6</v>
      </c>
      <c r="G1142" s="2">
        <v>1</v>
      </c>
      <c r="H1142" s="39" t="s">
        <v>2</v>
      </c>
      <c r="I1142" s="39" t="s">
        <v>78</v>
      </c>
      <c r="J1142" s="39" t="s">
        <v>49</v>
      </c>
      <c r="K1142" s="6">
        <v>302.2</v>
      </c>
    </row>
    <row r="1143" spans="1:11" s="26" customFormat="1" x14ac:dyDescent="0.25">
      <c r="A1143" s="93"/>
      <c r="B1143" s="1" t="s">
        <v>50</v>
      </c>
      <c r="C1143" s="2">
        <v>926</v>
      </c>
      <c r="D1143" s="39" t="s">
        <v>17</v>
      </c>
      <c r="E1143" s="39" t="s">
        <v>6</v>
      </c>
      <c r="F1143" s="39" t="s">
        <v>6</v>
      </c>
      <c r="G1143" s="2">
        <v>1</v>
      </c>
      <c r="H1143" s="39" t="s">
        <v>2</v>
      </c>
      <c r="I1143" s="39" t="s">
        <v>78</v>
      </c>
      <c r="J1143" s="39" t="s">
        <v>51</v>
      </c>
      <c r="K1143" s="6"/>
    </row>
    <row r="1144" spans="1:11" s="26" customFormat="1" x14ac:dyDescent="0.25">
      <c r="A1144" s="93"/>
      <c r="B1144" s="1" t="s">
        <v>234</v>
      </c>
      <c r="C1144" s="2">
        <v>926</v>
      </c>
      <c r="D1144" s="39" t="s">
        <v>17</v>
      </c>
      <c r="E1144" s="37" t="s">
        <v>6</v>
      </c>
      <c r="F1144" s="37" t="s">
        <v>6</v>
      </c>
      <c r="G1144" s="38">
        <v>1</v>
      </c>
      <c r="H1144" s="37" t="s">
        <v>2</v>
      </c>
      <c r="I1144" s="37" t="s">
        <v>233</v>
      </c>
      <c r="J1144" s="37"/>
      <c r="K1144" s="6">
        <f>SUM(K1145)</f>
        <v>27.7</v>
      </c>
    </row>
    <row r="1145" spans="1:11" s="26" customFormat="1" ht="31.2" x14ac:dyDescent="0.25">
      <c r="A1145" s="93"/>
      <c r="B1145" s="1" t="s">
        <v>123</v>
      </c>
      <c r="C1145" s="2">
        <v>926</v>
      </c>
      <c r="D1145" s="37" t="s">
        <v>17</v>
      </c>
      <c r="E1145" s="37" t="s">
        <v>6</v>
      </c>
      <c r="F1145" s="37" t="s">
        <v>6</v>
      </c>
      <c r="G1145" s="38">
        <v>1</v>
      </c>
      <c r="H1145" s="37" t="s">
        <v>2</v>
      </c>
      <c r="I1145" s="37" t="s">
        <v>233</v>
      </c>
      <c r="J1145" s="37" t="s">
        <v>49</v>
      </c>
      <c r="K1145" s="6">
        <v>27.7</v>
      </c>
    </row>
    <row r="1146" spans="1:11" s="26" customFormat="1" ht="31.2" x14ac:dyDescent="0.25">
      <c r="A1146" s="93"/>
      <c r="B1146" s="40" t="s">
        <v>435</v>
      </c>
      <c r="C1146" s="2">
        <v>926</v>
      </c>
      <c r="D1146" s="37" t="s">
        <v>17</v>
      </c>
      <c r="E1146" s="39" t="s">
        <v>6</v>
      </c>
      <c r="F1146" s="39" t="s">
        <v>6</v>
      </c>
      <c r="G1146" s="2">
        <v>1</v>
      </c>
      <c r="H1146" s="39" t="s">
        <v>4</v>
      </c>
      <c r="I1146" s="39"/>
      <c r="J1146" s="39"/>
      <c r="K1146" s="6">
        <f>SUM(K1147+K1151)</f>
        <v>74613.2</v>
      </c>
    </row>
    <row r="1147" spans="1:11" s="26" customFormat="1" ht="46.8" x14ac:dyDescent="0.25">
      <c r="A1147" s="93"/>
      <c r="B1147" s="1" t="s">
        <v>66</v>
      </c>
      <c r="C1147" s="2">
        <v>926</v>
      </c>
      <c r="D1147" s="39" t="s">
        <v>17</v>
      </c>
      <c r="E1147" s="39" t="s">
        <v>6</v>
      </c>
      <c r="F1147" s="39" t="s">
        <v>6</v>
      </c>
      <c r="G1147" s="2">
        <v>1</v>
      </c>
      <c r="H1147" s="39" t="s">
        <v>4</v>
      </c>
      <c r="I1147" s="39" t="s">
        <v>85</v>
      </c>
      <c r="J1147" s="39"/>
      <c r="K1147" s="6">
        <f>SUM(K1148:K1150)</f>
        <v>74612</v>
      </c>
    </row>
    <row r="1148" spans="1:11" s="26" customFormat="1" ht="53.25" customHeight="1" x14ac:dyDescent="0.25">
      <c r="A1148" s="93"/>
      <c r="B1148" s="1" t="s">
        <v>122</v>
      </c>
      <c r="C1148" s="2">
        <v>926</v>
      </c>
      <c r="D1148" s="39" t="s">
        <v>17</v>
      </c>
      <c r="E1148" s="39" t="s">
        <v>6</v>
      </c>
      <c r="F1148" s="39" t="s">
        <v>6</v>
      </c>
      <c r="G1148" s="2">
        <v>1</v>
      </c>
      <c r="H1148" s="39" t="s">
        <v>4</v>
      </c>
      <c r="I1148" s="39" t="s">
        <v>85</v>
      </c>
      <c r="J1148" s="39" t="s">
        <v>48</v>
      </c>
      <c r="K1148" s="6">
        <f>36349.9+25568.5-1.6+1.2+872.6</f>
        <v>62790.6</v>
      </c>
    </row>
    <row r="1149" spans="1:11" s="26" customFormat="1" ht="31.2" x14ac:dyDescent="0.25">
      <c r="A1149" s="93"/>
      <c r="B1149" s="1" t="s">
        <v>123</v>
      </c>
      <c r="C1149" s="2">
        <v>926</v>
      </c>
      <c r="D1149" s="39" t="s">
        <v>17</v>
      </c>
      <c r="E1149" s="39" t="s">
        <v>6</v>
      </c>
      <c r="F1149" s="39" t="s">
        <v>6</v>
      </c>
      <c r="G1149" s="2">
        <v>1</v>
      </c>
      <c r="H1149" s="39" t="s">
        <v>4</v>
      </c>
      <c r="I1149" s="39" t="s">
        <v>85</v>
      </c>
      <c r="J1149" s="39" t="s">
        <v>49</v>
      </c>
      <c r="K1149" s="6">
        <f>6431.1+88.1+3424.8+1664+42.7+0.1-1.7+156.1</f>
        <v>11805.2</v>
      </c>
    </row>
    <row r="1150" spans="1:11" s="26" customFormat="1" x14ac:dyDescent="0.25">
      <c r="A1150" s="93"/>
      <c r="B1150" s="1" t="s">
        <v>50</v>
      </c>
      <c r="C1150" s="2">
        <v>926</v>
      </c>
      <c r="D1150" s="39" t="s">
        <v>17</v>
      </c>
      <c r="E1150" s="39" t="s">
        <v>6</v>
      </c>
      <c r="F1150" s="39" t="s">
        <v>6</v>
      </c>
      <c r="G1150" s="2">
        <v>1</v>
      </c>
      <c r="H1150" s="39" t="s">
        <v>4</v>
      </c>
      <c r="I1150" s="39" t="s">
        <v>85</v>
      </c>
      <c r="J1150" s="39" t="s">
        <v>51</v>
      </c>
      <c r="K1150" s="6">
        <f>1.1+11.8+1.6+1.7</f>
        <v>16.2</v>
      </c>
    </row>
    <row r="1151" spans="1:11" s="26" customFormat="1" ht="93.6" x14ac:dyDescent="0.25">
      <c r="A1151" s="93"/>
      <c r="B1151" s="57" t="s">
        <v>199</v>
      </c>
      <c r="C1151" s="2">
        <v>926</v>
      </c>
      <c r="D1151" s="39" t="s">
        <v>17</v>
      </c>
      <c r="E1151" s="39" t="s">
        <v>6</v>
      </c>
      <c r="F1151" s="37" t="s">
        <v>6</v>
      </c>
      <c r="G1151" s="2">
        <v>1</v>
      </c>
      <c r="H1151" s="39" t="s">
        <v>4</v>
      </c>
      <c r="I1151" s="39" t="s">
        <v>107</v>
      </c>
      <c r="J1151" s="39"/>
      <c r="K1151" s="6">
        <f t="shared" ref="K1151" si="48">SUM(K1152)</f>
        <v>1.2</v>
      </c>
    </row>
    <row r="1152" spans="1:11" s="26" customFormat="1" ht="31.2" x14ac:dyDescent="0.25">
      <c r="A1152" s="93"/>
      <c r="B1152" s="1" t="s">
        <v>123</v>
      </c>
      <c r="C1152" s="2">
        <v>926</v>
      </c>
      <c r="D1152" s="39" t="s">
        <v>17</v>
      </c>
      <c r="E1152" s="39" t="s">
        <v>6</v>
      </c>
      <c r="F1152" s="37" t="s">
        <v>6</v>
      </c>
      <c r="G1152" s="2">
        <v>1</v>
      </c>
      <c r="H1152" s="39" t="s">
        <v>4</v>
      </c>
      <c r="I1152" s="39" t="s">
        <v>107</v>
      </c>
      <c r="J1152" s="39" t="s">
        <v>49</v>
      </c>
      <c r="K1152" s="6">
        <v>1.2</v>
      </c>
    </row>
    <row r="1153" spans="1:11" s="26" customFormat="1" ht="78" x14ac:dyDescent="0.25">
      <c r="A1153" s="93"/>
      <c r="B1153" s="1" t="s">
        <v>457</v>
      </c>
      <c r="C1153" s="2">
        <v>926</v>
      </c>
      <c r="D1153" s="39" t="s">
        <v>17</v>
      </c>
      <c r="E1153" s="39" t="s">
        <v>6</v>
      </c>
      <c r="F1153" s="37" t="s">
        <v>6</v>
      </c>
      <c r="G1153" s="2">
        <v>1</v>
      </c>
      <c r="H1153" s="39" t="s">
        <v>5</v>
      </c>
      <c r="I1153" s="39"/>
      <c r="J1153" s="39"/>
      <c r="K1153" s="6">
        <f>SUM(K1160+K1154+K1156)</f>
        <v>1350.9</v>
      </c>
    </row>
    <row r="1154" spans="1:11" s="26" customFormat="1" x14ac:dyDescent="0.25">
      <c r="A1154" s="93"/>
      <c r="B1154" s="40" t="s">
        <v>305</v>
      </c>
      <c r="C1154" s="2">
        <v>926</v>
      </c>
      <c r="D1154" s="39" t="s">
        <v>17</v>
      </c>
      <c r="E1154" s="39" t="s">
        <v>6</v>
      </c>
      <c r="F1154" s="37" t="s">
        <v>6</v>
      </c>
      <c r="G1154" s="2">
        <v>1</v>
      </c>
      <c r="H1154" s="39" t="s">
        <v>5</v>
      </c>
      <c r="I1154" s="39" t="s">
        <v>306</v>
      </c>
      <c r="J1154" s="39"/>
      <c r="K1154" s="6">
        <f>SUM(K1155)</f>
        <v>58.9</v>
      </c>
    </row>
    <row r="1155" spans="1:11" s="26" customFormat="1" ht="50.25" customHeight="1" x14ac:dyDescent="0.25">
      <c r="A1155" s="93"/>
      <c r="B1155" s="1" t="s">
        <v>122</v>
      </c>
      <c r="C1155" s="2">
        <v>926</v>
      </c>
      <c r="D1155" s="39" t="s">
        <v>17</v>
      </c>
      <c r="E1155" s="39" t="s">
        <v>6</v>
      </c>
      <c r="F1155" s="37" t="s">
        <v>6</v>
      </c>
      <c r="G1155" s="2">
        <v>1</v>
      </c>
      <c r="H1155" s="39" t="s">
        <v>5</v>
      </c>
      <c r="I1155" s="39" t="s">
        <v>306</v>
      </c>
      <c r="J1155" s="39" t="s">
        <v>48</v>
      </c>
      <c r="K1155" s="6">
        <v>58.9</v>
      </c>
    </row>
    <row r="1156" spans="1:11" s="26" customFormat="1" x14ac:dyDescent="0.25">
      <c r="A1156" s="93"/>
      <c r="B1156" s="1" t="s">
        <v>459</v>
      </c>
      <c r="C1156" s="2">
        <v>926</v>
      </c>
      <c r="D1156" s="39" t="s">
        <v>17</v>
      </c>
      <c r="E1156" s="39" t="s">
        <v>6</v>
      </c>
      <c r="F1156" s="37" t="s">
        <v>6</v>
      </c>
      <c r="G1156" s="2">
        <v>1</v>
      </c>
      <c r="H1156" s="39" t="s">
        <v>5</v>
      </c>
      <c r="I1156" s="39" t="s">
        <v>185</v>
      </c>
      <c r="J1156" s="39"/>
      <c r="K1156" s="6">
        <f>SUM(K1157:K1159)</f>
        <v>869</v>
      </c>
    </row>
    <row r="1157" spans="1:11" s="26" customFormat="1" ht="31.2" x14ac:dyDescent="0.25">
      <c r="A1157" s="93"/>
      <c r="B1157" s="1" t="s">
        <v>123</v>
      </c>
      <c r="C1157" s="2">
        <v>926</v>
      </c>
      <c r="D1157" s="39" t="s">
        <v>17</v>
      </c>
      <c r="E1157" s="39" t="s">
        <v>6</v>
      </c>
      <c r="F1157" s="37" t="s">
        <v>6</v>
      </c>
      <c r="G1157" s="2">
        <v>1</v>
      </c>
      <c r="H1157" s="39" t="s">
        <v>5</v>
      </c>
      <c r="I1157" s="39" t="s">
        <v>185</v>
      </c>
      <c r="J1157" s="39" t="s">
        <v>49</v>
      </c>
      <c r="K1157" s="6">
        <f>533.2+34.6</f>
        <v>567.80000000000007</v>
      </c>
    </row>
    <row r="1158" spans="1:11" s="26" customFormat="1" x14ac:dyDescent="0.25">
      <c r="A1158" s="93"/>
      <c r="B1158" s="1" t="s">
        <v>55</v>
      </c>
      <c r="C1158" s="2">
        <v>926</v>
      </c>
      <c r="D1158" s="39" t="s">
        <v>17</v>
      </c>
      <c r="E1158" s="39" t="s">
        <v>6</v>
      </c>
      <c r="F1158" s="37" t="s">
        <v>6</v>
      </c>
      <c r="G1158" s="2">
        <v>1</v>
      </c>
      <c r="H1158" s="39" t="s">
        <v>5</v>
      </c>
      <c r="I1158" s="39" t="s">
        <v>185</v>
      </c>
      <c r="J1158" s="39" t="s">
        <v>56</v>
      </c>
      <c r="K1158" s="6">
        <f>201.2+100</f>
        <v>301.2</v>
      </c>
    </row>
    <row r="1159" spans="1:11" s="26" customFormat="1" ht="31.2" x14ac:dyDescent="0.25">
      <c r="A1159" s="93"/>
      <c r="B1159" s="43" t="s">
        <v>121</v>
      </c>
      <c r="C1159" s="2">
        <v>926</v>
      </c>
      <c r="D1159" s="39" t="s">
        <v>17</v>
      </c>
      <c r="E1159" s="39" t="s">
        <v>6</v>
      </c>
      <c r="F1159" s="37" t="s">
        <v>6</v>
      </c>
      <c r="G1159" s="2">
        <v>1</v>
      </c>
      <c r="H1159" s="39" t="s">
        <v>5</v>
      </c>
      <c r="I1159" s="39" t="s">
        <v>185</v>
      </c>
      <c r="J1159" s="39" t="s">
        <v>59</v>
      </c>
      <c r="K1159" s="6"/>
    </row>
    <row r="1160" spans="1:11" s="26" customFormat="1" ht="46.8" x14ac:dyDescent="0.25">
      <c r="A1160" s="93"/>
      <c r="B1160" s="54" t="s">
        <v>169</v>
      </c>
      <c r="C1160" s="2">
        <v>926</v>
      </c>
      <c r="D1160" s="39" t="s">
        <v>17</v>
      </c>
      <c r="E1160" s="39" t="s">
        <v>6</v>
      </c>
      <c r="F1160" s="37" t="s">
        <v>6</v>
      </c>
      <c r="G1160" s="2">
        <v>1</v>
      </c>
      <c r="H1160" s="39" t="s">
        <v>5</v>
      </c>
      <c r="I1160" s="39" t="s">
        <v>144</v>
      </c>
      <c r="J1160" s="39"/>
      <c r="K1160" s="6">
        <f>SUM(K1161)</f>
        <v>423</v>
      </c>
    </row>
    <row r="1161" spans="1:11" s="26" customFormat="1" ht="50.25" customHeight="1" x14ac:dyDescent="0.25">
      <c r="A1161" s="93"/>
      <c r="B1161" s="1" t="s">
        <v>122</v>
      </c>
      <c r="C1161" s="2">
        <v>926</v>
      </c>
      <c r="D1161" s="39" t="s">
        <v>17</v>
      </c>
      <c r="E1161" s="39" t="s">
        <v>6</v>
      </c>
      <c r="F1161" s="37" t="s">
        <v>6</v>
      </c>
      <c r="G1161" s="2">
        <v>1</v>
      </c>
      <c r="H1161" s="39" t="s">
        <v>5</v>
      </c>
      <c r="I1161" s="39" t="s">
        <v>144</v>
      </c>
      <c r="J1161" s="39" t="s">
        <v>48</v>
      </c>
      <c r="K1161" s="6">
        <f>270+90+171-108</f>
        <v>423</v>
      </c>
    </row>
    <row r="1162" spans="1:11" s="26" customFormat="1" ht="156" x14ac:dyDescent="0.25">
      <c r="A1162" s="93"/>
      <c r="B1162" s="3" t="s">
        <v>458</v>
      </c>
      <c r="C1162" s="2">
        <v>926</v>
      </c>
      <c r="D1162" s="39" t="s">
        <v>17</v>
      </c>
      <c r="E1162" s="39" t="s">
        <v>6</v>
      </c>
      <c r="F1162" s="37" t="s">
        <v>6</v>
      </c>
      <c r="G1162" s="2">
        <v>1</v>
      </c>
      <c r="H1162" s="39" t="s">
        <v>6</v>
      </c>
      <c r="I1162" s="39"/>
      <c r="J1162" s="39"/>
      <c r="K1162" s="6">
        <f>SUM(K1163)</f>
        <v>2564.1000000000004</v>
      </c>
    </row>
    <row r="1163" spans="1:11" s="26" customFormat="1" x14ac:dyDescent="0.25">
      <c r="A1163" s="93"/>
      <c r="B1163" s="1" t="s">
        <v>459</v>
      </c>
      <c r="C1163" s="2">
        <v>926</v>
      </c>
      <c r="D1163" s="39" t="s">
        <v>17</v>
      </c>
      <c r="E1163" s="39" t="s">
        <v>6</v>
      </c>
      <c r="F1163" s="37" t="s">
        <v>6</v>
      </c>
      <c r="G1163" s="2">
        <v>1</v>
      </c>
      <c r="H1163" s="39" t="s">
        <v>6</v>
      </c>
      <c r="I1163" s="39" t="s">
        <v>185</v>
      </c>
      <c r="J1163" s="39"/>
      <c r="K1163" s="6">
        <f>SUM(K1164:K1166)</f>
        <v>2564.1000000000004</v>
      </c>
    </row>
    <row r="1164" spans="1:11" s="26" customFormat="1" ht="31.2" x14ac:dyDescent="0.25">
      <c r="A1164" s="93"/>
      <c r="B1164" s="1" t="s">
        <v>123</v>
      </c>
      <c r="C1164" s="2">
        <v>926</v>
      </c>
      <c r="D1164" s="39" t="s">
        <v>17</v>
      </c>
      <c r="E1164" s="39" t="s">
        <v>6</v>
      </c>
      <c r="F1164" s="37" t="s">
        <v>6</v>
      </c>
      <c r="G1164" s="2">
        <v>1</v>
      </c>
      <c r="H1164" s="39" t="s">
        <v>6</v>
      </c>
      <c r="I1164" s="39" t="s">
        <v>185</v>
      </c>
      <c r="J1164" s="39" t="s">
        <v>49</v>
      </c>
      <c r="K1164" s="6">
        <f>739.5+1438.4+98.8</f>
        <v>2276.7000000000003</v>
      </c>
    </row>
    <row r="1165" spans="1:11" s="26" customFormat="1" x14ac:dyDescent="0.25">
      <c r="A1165" s="93"/>
      <c r="B1165" s="1" t="s">
        <v>55</v>
      </c>
      <c r="C1165" s="2">
        <v>926</v>
      </c>
      <c r="D1165" s="39" t="s">
        <v>17</v>
      </c>
      <c r="E1165" s="39" t="s">
        <v>6</v>
      </c>
      <c r="F1165" s="37" t="s">
        <v>6</v>
      </c>
      <c r="G1165" s="2">
        <v>1</v>
      </c>
      <c r="H1165" s="39" t="s">
        <v>6</v>
      </c>
      <c r="I1165" s="39" t="s">
        <v>185</v>
      </c>
      <c r="J1165" s="39" t="s">
        <v>56</v>
      </c>
      <c r="K1165" s="6">
        <f>28.7+258.7</f>
        <v>287.39999999999998</v>
      </c>
    </row>
    <row r="1166" spans="1:11" s="26" customFormat="1" ht="31.2" x14ac:dyDescent="0.25">
      <c r="A1166" s="93"/>
      <c r="B1166" s="43" t="s">
        <v>121</v>
      </c>
      <c r="C1166" s="2">
        <v>926</v>
      </c>
      <c r="D1166" s="39" t="s">
        <v>17</v>
      </c>
      <c r="E1166" s="39" t="s">
        <v>6</v>
      </c>
      <c r="F1166" s="37" t="s">
        <v>6</v>
      </c>
      <c r="G1166" s="2">
        <v>1</v>
      </c>
      <c r="H1166" s="39" t="s">
        <v>6</v>
      </c>
      <c r="I1166" s="39" t="s">
        <v>185</v>
      </c>
      <c r="J1166" s="39" t="s">
        <v>59</v>
      </c>
      <c r="K1166" s="6">
        <f>859.8+1440.4+982.2+64.6-2448.2-898.8</f>
        <v>0</v>
      </c>
    </row>
    <row r="1167" spans="1:11" s="26" customFormat="1" ht="31.2" x14ac:dyDescent="0.25">
      <c r="A1167" s="93"/>
      <c r="B1167" s="40" t="s">
        <v>439</v>
      </c>
      <c r="C1167" s="2">
        <v>926</v>
      </c>
      <c r="D1167" s="39" t="s">
        <v>17</v>
      </c>
      <c r="E1167" s="39" t="s">
        <v>6</v>
      </c>
      <c r="F1167" s="37" t="s">
        <v>6</v>
      </c>
      <c r="G1167" s="2">
        <v>1</v>
      </c>
      <c r="H1167" s="39" t="s">
        <v>7</v>
      </c>
      <c r="I1167" s="39"/>
      <c r="J1167" s="39"/>
      <c r="K1167" s="6">
        <f>SUM(K1168)</f>
        <v>4864.6000000000004</v>
      </c>
    </row>
    <row r="1168" spans="1:11" s="26" customFormat="1" x14ac:dyDescent="0.25">
      <c r="A1168" s="93"/>
      <c r="B1168" s="1" t="s">
        <v>459</v>
      </c>
      <c r="C1168" s="2">
        <v>926</v>
      </c>
      <c r="D1168" s="39" t="s">
        <v>17</v>
      </c>
      <c r="E1168" s="39" t="s">
        <v>6</v>
      </c>
      <c r="F1168" s="37" t="s">
        <v>6</v>
      </c>
      <c r="G1168" s="2">
        <v>1</v>
      </c>
      <c r="H1168" s="39" t="s">
        <v>7</v>
      </c>
      <c r="I1168" s="39" t="s">
        <v>185</v>
      </c>
      <c r="J1168" s="39"/>
      <c r="K1168" s="6">
        <f>SUM(K1169+K1170)</f>
        <v>4864.6000000000004</v>
      </c>
    </row>
    <row r="1169" spans="1:11" s="26" customFormat="1" ht="31.2" x14ac:dyDescent="0.25">
      <c r="A1169" s="93"/>
      <c r="B1169" s="1" t="s">
        <v>123</v>
      </c>
      <c r="C1169" s="2">
        <v>926</v>
      </c>
      <c r="D1169" s="39" t="s">
        <v>17</v>
      </c>
      <c r="E1169" s="39" t="s">
        <v>6</v>
      </c>
      <c r="F1169" s="37" t="s">
        <v>6</v>
      </c>
      <c r="G1169" s="2">
        <v>1</v>
      </c>
      <c r="H1169" s="39" t="s">
        <v>7</v>
      </c>
      <c r="I1169" s="39" t="s">
        <v>185</v>
      </c>
      <c r="J1169" s="39" t="s">
        <v>49</v>
      </c>
      <c r="K1169" s="6">
        <f>4500+64.6+300</f>
        <v>4864.6000000000004</v>
      </c>
    </row>
    <row r="1170" spans="1:11" s="26" customFormat="1" ht="31.2" x14ac:dyDescent="0.25">
      <c r="A1170" s="93"/>
      <c r="B1170" s="43" t="s">
        <v>121</v>
      </c>
      <c r="C1170" s="2">
        <v>926</v>
      </c>
      <c r="D1170" s="39" t="s">
        <v>17</v>
      </c>
      <c r="E1170" s="39" t="s">
        <v>6</v>
      </c>
      <c r="F1170" s="37" t="s">
        <v>6</v>
      </c>
      <c r="G1170" s="2">
        <v>1</v>
      </c>
      <c r="H1170" s="39" t="s">
        <v>7</v>
      </c>
      <c r="I1170" s="39" t="s">
        <v>185</v>
      </c>
      <c r="J1170" s="39" t="s">
        <v>59</v>
      </c>
      <c r="K1170" s="6"/>
    </row>
    <row r="1171" spans="1:11" s="26" customFormat="1" ht="31.2" x14ac:dyDescent="0.25">
      <c r="A1171" s="93"/>
      <c r="B1171" s="1" t="s">
        <v>285</v>
      </c>
      <c r="C1171" s="2">
        <v>926</v>
      </c>
      <c r="D1171" s="39" t="s">
        <v>17</v>
      </c>
      <c r="E1171" s="39" t="s">
        <v>6</v>
      </c>
      <c r="F1171" s="37" t="s">
        <v>70</v>
      </c>
      <c r="G1171" s="2"/>
      <c r="H1171" s="39"/>
      <c r="I1171" s="39"/>
      <c r="J1171" s="39"/>
      <c r="K1171" s="6">
        <f>K1176+K1172</f>
        <v>5617.7000000000007</v>
      </c>
    </row>
    <row r="1172" spans="1:11" s="26" customFormat="1" ht="46.8" x14ac:dyDescent="0.25">
      <c r="A1172" s="93"/>
      <c r="B1172" s="1" t="s">
        <v>336</v>
      </c>
      <c r="C1172" s="2">
        <v>926</v>
      </c>
      <c r="D1172" s="39" t="s">
        <v>17</v>
      </c>
      <c r="E1172" s="39" t="s">
        <v>6</v>
      </c>
      <c r="F1172" s="37" t="s">
        <v>70</v>
      </c>
      <c r="G1172" s="37" t="s">
        <v>90</v>
      </c>
      <c r="H1172" s="37"/>
      <c r="I1172" s="37"/>
      <c r="J1172" s="37"/>
      <c r="K1172" s="6">
        <f>K1173</f>
        <v>954.1</v>
      </c>
    </row>
    <row r="1173" spans="1:11" s="26" customFormat="1" ht="46.8" x14ac:dyDescent="0.25">
      <c r="A1173" s="93"/>
      <c r="B1173" s="1" t="s">
        <v>337</v>
      </c>
      <c r="C1173" s="2">
        <v>926</v>
      </c>
      <c r="D1173" s="39" t="s">
        <v>17</v>
      </c>
      <c r="E1173" s="39" t="s">
        <v>6</v>
      </c>
      <c r="F1173" s="37" t="s">
        <v>70</v>
      </c>
      <c r="G1173" s="37" t="s">
        <v>90</v>
      </c>
      <c r="H1173" s="37" t="s">
        <v>2</v>
      </c>
      <c r="I1173" s="37"/>
      <c r="J1173" s="37"/>
      <c r="K1173" s="6">
        <f>K1174</f>
        <v>954.1</v>
      </c>
    </row>
    <row r="1174" spans="1:11" s="26" customFormat="1" ht="78" x14ac:dyDescent="0.25">
      <c r="A1174" s="93"/>
      <c r="B1174" s="1" t="s">
        <v>338</v>
      </c>
      <c r="C1174" s="2">
        <v>926</v>
      </c>
      <c r="D1174" s="39" t="s">
        <v>17</v>
      </c>
      <c r="E1174" s="39" t="s">
        <v>6</v>
      </c>
      <c r="F1174" s="37" t="s">
        <v>70</v>
      </c>
      <c r="G1174" s="37" t="s">
        <v>90</v>
      </c>
      <c r="H1174" s="37" t="s">
        <v>2</v>
      </c>
      <c r="I1174" s="37" t="s">
        <v>284</v>
      </c>
      <c r="J1174" s="37"/>
      <c r="K1174" s="6">
        <f>K1175</f>
        <v>954.1</v>
      </c>
    </row>
    <row r="1175" spans="1:11" s="26" customFormat="1" ht="31.2" x14ac:dyDescent="0.25">
      <c r="A1175" s="93"/>
      <c r="B1175" s="1" t="s">
        <v>123</v>
      </c>
      <c r="C1175" s="2">
        <v>926</v>
      </c>
      <c r="D1175" s="39" t="s">
        <v>17</v>
      </c>
      <c r="E1175" s="39" t="s">
        <v>6</v>
      </c>
      <c r="F1175" s="37" t="s">
        <v>70</v>
      </c>
      <c r="G1175" s="37" t="s">
        <v>90</v>
      </c>
      <c r="H1175" s="37" t="s">
        <v>2</v>
      </c>
      <c r="I1175" s="37" t="s">
        <v>284</v>
      </c>
      <c r="J1175" s="37" t="s">
        <v>49</v>
      </c>
      <c r="K1175" s="6">
        <v>954.1</v>
      </c>
    </row>
    <row r="1176" spans="1:11" s="26" customFormat="1" ht="31.2" x14ac:dyDescent="0.25">
      <c r="A1176" s="93"/>
      <c r="B1176" s="1" t="s">
        <v>339</v>
      </c>
      <c r="C1176" s="2">
        <v>926</v>
      </c>
      <c r="D1176" s="39" t="s">
        <v>17</v>
      </c>
      <c r="E1176" s="39" t="s">
        <v>6</v>
      </c>
      <c r="F1176" s="37" t="s">
        <v>70</v>
      </c>
      <c r="G1176" s="38">
        <v>2</v>
      </c>
      <c r="H1176" s="37"/>
      <c r="I1176" s="37"/>
      <c r="J1176" s="37"/>
      <c r="K1176" s="6">
        <f>K1177</f>
        <v>4663.6000000000004</v>
      </c>
    </row>
    <row r="1177" spans="1:11" s="26" customFormat="1" ht="80.25" customHeight="1" x14ac:dyDescent="0.25">
      <c r="A1177" s="93"/>
      <c r="B1177" s="59" t="s">
        <v>518</v>
      </c>
      <c r="C1177" s="2">
        <v>926</v>
      </c>
      <c r="D1177" s="39" t="s">
        <v>17</v>
      </c>
      <c r="E1177" s="39" t="s">
        <v>6</v>
      </c>
      <c r="F1177" s="37" t="s">
        <v>70</v>
      </c>
      <c r="G1177" s="38">
        <v>2</v>
      </c>
      <c r="H1177" s="37" t="s">
        <v>2</v>
      </c>
      <c r="I1177" s="37"/>
      <c r="J1177" s="37"/>
      <c r="K1177" s="6">
        <f>K1178</f>
        <v>4663.6000000000004</v>
      </c>
    </row>
    <row r="1178" spans="1:11" s="26" customFormat="1" ht="46.8" x14ac:dyDescent="0.25">
      <c r="A1178" s="93"/>
      <c r="B1178" s="1" t="s">
        <v>521</v>
      </c>
      <c r="C1178" s="2">
        <v>926</v>
      </c>
      <c r="D1178" s="39" t="s">
        <v>17</v>
      </c>
      <c r="E1178" s="39" t="s">
        <v>6</v>
      </c>
      <c r="F1178" s="37" t="s">
        <v>70</v>
      </c>
      <c r="G1178" s="38">
        <v>2</v>
      </c>
      <c r="H1178" s="37" t="s">
        <v>2</v>
      </c>
      <c r="I1178" s="37" t="s">
        <v>156</v>
      </c>
      <c r="J1178" s="37"/>
      <c r="K1178" s="6">
        <f>K1179</f>
        <v>4663.6000000000004</v>
      </c>
    </row>
    <row r="1179" spans="1:11" s="26" customFormat="1" ht="31.2" x14ac:dyDescent="0.25">
      <c r="A1179" s="93"/>
      <c r="B1179" s="1" t="s">
        <v>123</v>
      </c>
      <c r="C1179" s="2">
        <v>926</v>
      </c>
      <c r="D1179" s="39" t="s">
        <v>17</v>
      </c>
      <c r="E1179" s="39" t="s">
        <v>6</v>
      </c>
      <c r="F1179" s="37" t="s">
        <v>70</v>
      </c>
      <c r="G1179" s="38">
        <v>2</v>
      </c>
      <c r="H1179" s="37" t="s">
        <v>2</v>
      </c>
      <c r="I1179" s="37" t="s">
        <v>156</v>
      </c>
      <c r="J1179" s="37" t="s">
        <v>49</v>
      </c>
      <c r="K1179" s="6">
        <f>4887.3-106.7-117</f>
        <v>4663.6000000000004</v>
      </c>
    </row>
    <row r="1180" spans="1:11" s="26" customFormat="1" ht="46.8" x14ac:dyDescent="0.25">
      <c r="A1180" s="93">
        <v>11</v>
      </c>
      <c r="B1180" s="60" t="s">
        <v>479</v>
      </c>
      <c r="C1180" s="39">
        <v>929</v>
      </c>
      <c r="D1180" s="39"/>
      <c r="E1180" s="37"/>
      <c r="F1180" s="37"/>
      <c r="G1180" s="37"/>
      <c r="H1180" s="37"/>
      <c r="I1180" s="37"/>
      <c r="J1180" s="37"/>
      <c r="K1180" s="6">
        <f>SUM(K1196+K1181+K1189)</f>
        <v>294599.09999999998</v>
      </c>
    </row>
    <row r="1181" spans="1:11" s="26" customFormat="1" x14ac:dyDescent="0.25">
      <c r="A1181" s="93"/>
      <c r="B1181" s="1" t="s">
        <v>14</v>
      </c>
      <c r="C1181" s="2">
        <v>929</v>
      </c>
      <c r="D1181" s="37" t="s">
        <v>5</v>
      </c>
      <c r="E1181" s="39"/>
      <c r="F1181" s="39"/>
      <c r="G1181" s="2"/>
      <c r="H1181" s="39"/>
      <c r="I1181" s="39"/>
      <c r="J1181" s="39"/>
      <c r="K1181" s="6">
        <f>SUM(K1182)</f>
        <v>557.5</v>
      </c>
    </row>
    <row r="1182" spans="1:11" s="26" customFormat="1" ht="31.2" x14ac:dyDescent="0.25">
      <c r="A1182" s="93"/>
      <c r="B1182" s="1" t="s">
        <v>130</v>
      </c>
      <c r="C1182" s="2">
        <v>929</v>
      </c>
      <c r="D1182" s="39" t="s">
        <v>5</v>
      </c>
      <c r="E1182" s="39" t="s">
        <v>10</v>
      </c>
      <c r="F1182" s="39"/>
      <c r="G1182" s="2"/>
      <c r="H1182" s="39"/>
      <c r="I1182" s="39"/>
      <c r="J1182" s="39"/>
      <c r="K1182" s="6">
        <f>K1183</f>
        <v>557.5</v>
      </c>
    </row>
    <row r="1183" spans="1:11" s="26" customFormat="1" x14ac:dyDescent="0.25">
      <c r="A1183" s="93"/>
      <c r="B1183" s="1" t="s">
        <v>352</v>
      </c>
      <c r="C1183" s="2">
        <v>929</v>
      </c>
      <c r="D1183" s="39" t="s">
        <v>5</v>
      </c>
      <c r="E1183" s="39" t="s">
        <v>10</v>
      </c>
      <c r="F1183" s="39" t="s">
        <v>83</v>
      </c>
      <c r="G1183" s="2"/>
      <c r="H1183" s="39"/>
      <c r="I1183" s="39"/>
      <c r="J1183" s="39"/>
      <c r="K1183" s="6">
        <f>K1184</f>
        <v>557.5</v>
      </c>
    </row>
    <row r="1184" spans="1:11" s="26" customFormat="1" ht="46.8" x14ac:dyDescent="0.25">
      <c r="A1184" s="93"/>
      <c r="B1184" s="40" t="s">
        <v>353</v>
      </c>
      <c r="C1184" s="2">
        <v>929</v>
      </c>
      <c r="D1184" s="39" t="s">
        <v>5</v>
      </c>
      <c r="E1184" s="39" t="s">
        <v>10</v>
      </c>
      <c r="F1184" s="39" t="s">
        <v>83</v>
      </c>
      <c r="G1184" s="2">
        <v>2</v>
      </c>
      <c r="H1184" s="39"/>
      <c r="I1184" s="39"/>
      <c r="J1184" s="39"/>
      <c r="K1184" s="6">
        <f>K1185</f>
        <v>557.5</v>
      </c>
    </row>
    <row r="1185" spans="1:11" s="26" customFormat="1" ht="46.8" x14ac:dyDescent="0.25">
      <c r="A1185" s="93"/>
      <c r="B1185" s="40" t="s">
        <v>131</v>
      </c>
      <c r="C1185" s="2">
        <v>929</v>
      </c>
      <c r="D1185" s="39" t="s">
        <v>5</v>
      </c>
      <c r="E1185" s="39" t="s">
        <v>10</v>
      </c>
      <c r="F1185" s="39" t="s">
        <v>83</v>
      </c>
      <c r="G1185" s="2">
        <v>2</v>
      </c>
      <c r="H1185" s="39" t="s">
        <v>2</v>
      </c>
      <c r="I1185" s="39" t="s">
        <v>135</v>
      </c>
      <c r="J1185" s="39"/>
      <c r="K1185" s="6">
        <f>K1186</f>
        <v>557.5</v>
      </c>
    </row>
    <row r="1186" spans="1:11" s="26" customFormat="1" ht="31.2" x14ac:dyDescent="0.25">
      <c r="A1186" s="93"/>
      <c r="B1186" s="40" t="s">
        <v>132</v>
      </c>
      <c r="C1186" s="2">
        <v>929</v>
      </c>
      <c r="D1186" s="39" t="s">
        <v>5</v>
      </c>
      <c r="E1186" s="39" t="s">
        <v>10</v>
      </c>
      <c r="F1186" s="39" t="s">
        <v>83</v>
      </c>
      <c r="G1186" s="2">
        <v>2</v>
      </c>
      <c r="H1186" s="39" t="s">
        <v>2</v>
      </c>
      <c r="I1186" s="39" t="s">
        <v>135</v>
      </c>
      <c r="J1186" s="39"/>
      <c r="K1186" s="6">
        <f>K1187+K1188</f>
        <v>557.5</v>
      </c>
    </row>
    <row r="1187" spans="1:11" s="26" customFormat="1" ht="31.2" x14ac:dyDescent="0.25">
      <c r="A1187" s="93"/>
      <c r="B1187" s="1" t="s">
        <v>123</v>
      </c>
      <c r="C1187" s="2">
        <v>929</v>
      </c>
      <c r="D1187" s="39" t="s">
        <v>5</v>
      </c>
      <c r="E1187" s="39" t="s">
        <v>10</v>
      </c>
      <c r="F1187" s="39" t="s">
        <v>83</v>
      </c>
      <c r="G1187" s="2">
        <v>2</v>
      </c>
      <c r="H1187" s="39" t="s">
        <v>2</v>
      </c>
      <c r="I1187" s="39" t="s">
        <v>135</v>
      </c>
      <c r="J1187" s="39" t="s">
        <v>49</v>
      </c>
      <c r="K1187" s="6">
        <f>500+15+42.5</f>
        <v>557.5</v>
      </c>
    </row>
    <row r="1188" spans="1:11" s="26" customFormat="1" x14ac:dyDescent="0.25">
      <c r="A1188" s="93"/>
      <c r="B1188" s="1" t="s">
        <v>55</v>
      </c>
      <c r="C1188" s="2">
        <v>929</v>
      </c>
      <c r="D1188" s="39" t="s">
        <v>5</v>
      </c>
      <c r="E1188" s="39" t="s">
        <v>10</v>
      </c>
      <c r="F1188" s="39" t="s">
        <v>83</v>
      </c>
      <c r="G1188" s="2">
        <v>2</v>
      </c>
      <c r="H1188" s="39" t="s">
        <v>2</v>
      </c>
      <c r="J1188" s="39" t="s">
        <v>56</v>
      </c>
      <c r="K1188" s="6"/>
    </row>
    <row r="1189" spans="1:11" s="26" customFormat="1" x14ac:dyDescent="0.25">
      <c r="A1189" s="93"/>
      <c r="B1189" s="1" t="s">
        <v>18</v>
      </c>
      <c r="C1189" s="2">
        <v>929</v>
      </c>
      <c r="D1189" s="39" t="s">
        <v>8</v>
      </c>
      <c r="E1189" s="39"/>
      <c r="F1189" s="39"/>
      <c r="G1189" s="2"/>
      <c r="H1189" s="39"/>
      <c r="I1189" s="39"/>
      <c r="J1189" s="39"/>
      <c r="K1189" s="6">
        <f>SUM(K1190)</f>
        <v>9</v>
      </c>
    </row>
    <row r="1190" spans="1:11" s="26" customFormat="1" ht="17.25" customHeight="1" x14ac:dyDescent="0.25">
      <c r="A1190" s="93"/>
      <c r="B1190" s="1" t="s">
        <v>235</v>
      </c>
      <c r="C1190" s="2">
        <v>929</v>
      </c>
      <c r="D1190" s="39" t="s">
        <v>8</v>
      </c>
      <c r="E1190" s="37" t="s">
        <v>7</v>
      </c>
      <c r="F1190" s="37"/>
      <c r="G1190" s="37"/>
      <c r="H1190" s="37"/>
      <c r="I1190" s="37"/>
      <c r="J1190" s="39"/>
      <c r="K1190" s="6">
        <f t="shared" ref="K1190:K1193" si="49">SUM(K1191)</f>
        <v>9</v>
      </c>
    </row>
    <row r="1191" spans="1:11" s="26" customFormat="1" x14ac:dyDescent="0.25">
      <c r="A1191" s="93"/>
      <c r="B1191" s="60" t="s">
        <v>397</v>
      </c>
      <c r="C1191" s="2">
        <v>929</v>
      </c>
      <c r="D1191" s="37" t="s">
        <v>8</v>
      </c>
      <c r="E1191" s="37" t="s">
        <v>7</v>
      </c>
      <c r="F1191" s="37" t="s">
        <v>7</v>
      </c>
      <c r="G1191" s="37"/>
      <c r="H1191" s="37"/>
      <c r="I1191" s="37"/>
      <c r="J1191" s="39"/>
      <c r="K1191" s="6">
        <f t="shared" si="49"/>
        <v>9</v>
      </c>
    </row>
    <row r="1192" spans="1:11" s="26" customFormat="1" ht="46.8" x14ac:dyDescent="0.25">
      <c r="A1192" s="93"/>
      <c r="B1192" s="60" t="s">
        <v>172</v>
      </c>
      <c r="C1192" s="2">
        <v>929</v>
      </c>
      <c r="D1192" s="37" t="s">
        <v>8</v>
      </c>
      <c r="E1192" s="37" t="s">
        <v>7</v>
      </c>
      <c r="F1192" s="37" t="s">
        <v>7</v>
      </c>
      <c r="G1192" s="37" t="s">
        <v>90</v>
      </c>
      <c r="H1192" s="37"/>
      <c r="I1192" s="37"/>
      <c r="J1192" s="39"/>
      <c r="K1192" s="6">
        <f t="shared" si="49"/>
        <v>9</v>
      </c>
    </row>
    <row r="1193" spans="1:11" s="26" customFormat="1" ht="46.8" x14ac:dyDescent="0.25">
      <c r="A1193" s="93"/>
      <c r="B1193" s="60" t="s">
        <v>398</v>
      </c>
      <c r="C1193" s="2">
        <v>929</v>
      </c>
      <c r="D1193" s="37" t="s">
        <v>8</v>
      </c>
      <c r="E1193" s="37" t="s">
        <v>7</v>
      </c>
      <c r="F1193" s="37" t="s">
        <v>7</v>
      </c>
      <c r="G1193" s="37" t="s">
        <v>90</v>
      </c>
      <c r="H1193" s="37" t="s">
        <v>2</v>
      </c>
      <c r="I1193" s="37"/>
      <c r="J1193" s="39"/>
      <c r="K1193" s="6">
        <f t="shared" si="49"/>
        <v>9</v>
      </c>
    </row>
    <row r="1194" spans="1:11" s="26" customFormat="1" x14ac:dyDescent="0.25">
      <c r="A1194" s="93"/>
      <c r="B1194" s="1" t="s">
        <v>237</v>
      </c>
      <c r="C1194" s="2">
        <v>929</v>
      </c>
      <c r="D1194" s="37" t="s">
        <v>8</v>
      </c>
      <c r="E1194" s="37" t="s">
        <v>7</v>
      </c>
      <c r="F1194" s="37" t="s">
        <v>7</v>
      </c>
      <c r="G1194" s="37" t="s">
        <v>90</v>
      </c>
      <c r="H1194" s="37" t="s">
        <v>2</v>
      </c>
      <c r="I1194" s="37" t="s">
        <v>236</v>
      </c>
      <c r="J1194" s="39"/>
      <c r="K1194" s="6">
        <f>SUM(K1195)</f>
        <v>9</v>
      </c>
    </row>
    <row r="1195" spans="1:11" s="26" customFormat="1" ht="31.2" x14ac:dyDescent="0.25">
      <c r="A1195" s="93"/>
      <c r="B1195" s="1" t="s">
        <v>123</v>
      </c>
      <c r="C1195" s="2">
        <v>929</v>
      </c>
      <c r="D1195" s="37" t="s">
        <v>8</v>
      </c>
      <c r="E1195" s="37" t="s">
        <v>7</v>
      </c>
      <c r="F1195" s="37" t="s">
        <v>7</v>
      </c>
      <c r="G1195" s="37" t="s">
        <v>90</v>
      </c>
      <c r="H1195" s="37" t="s">
        <v>2</v>
      </c>
      <c r="I1195" s="37" t="s">
        <v>236</v>
      </c>
      <c r="J1195" s="39" t="s">
        <v>49</v>
      </c>
      <c r="K1195" s="6">
        <v>9</v>
      </c>
    </row>
    <row r="1196" spans="1:11" s="26" customFormat="1" x14ac:dyDescent="0.25">
      <c r="A1196" s="93"/>
      <c r="B1196" s="60" t="s">
        <v>61</v>
      </c>
      <c r="C1196" s="39" t="s">
        <v>31</v>
      </c>
      <c r="D1196" s="37" t="s">
        <v>23</v>
      </c>
      <c r="E1196" s="37"/>
      <c r="F1196" s="37"/>
      <c r="G1196" s="37"/>
      <c r="H1196" s="37"/>
      <c r="I1196" s="37"/>
      <c r="J1196" s="37"/>
      <c r="K1196" s="6">
        <f>SUM(K1197+K1241)</f>
        <v>294032.59999999998</v>
      </c>
    </row>
    <row r="1197" spans="1:11" s="26" customFormat="1" x14ac:dyDescent="0.25">
      <c r="A1197" s="93"/>
      <c r="B1197" s="60" t="s">
        <v>265</v>
      </c>
      <c r="C1197" s="39">
        <v>929</v>
      </c>
      <c r="D1197" s="37" t="s">
        <v>23</v>
      </c>
      <c r="E1197" s="37" t="s">
        <v>5</v>
      </c>
      <c r="F1197" s="37"/>
      <c r="G1197" s="37"/>
      <c r="H1197" s="37"/>
      <c r="I1197" s="37"/>
      <c r="J1197" s="37"/>
      <c r="K1197" s="6">
        <f>SUM(K1198+K1232+Q1260)</f>
        <v>285792.5</v>
      </c>
    </row>
    <row r="1198" spans="1:11" s="26" customFormat="1" x14ac:dyDescent="0.25">
      <c r="A1198" s="93"/>
      <c r="B1198" s="40" t="s">
        <v>397</v>
      </c>
      <c r="C1198" s="39" t="s">
        <v>31</v>
      </c>
      <c r="D1198" s="37" t="s">
        <v>23</v>
      </c>
      <c r="E1198" s="37" t="s">
        <v>5</v>
      </c>
      <c r="F1198" s="37" t="s">
        <v>7</v>
      </c>
      <c r="G1198" s="37"/>
      <c r="H1198" s="37"/>
      <c r="I1198" s="37"/>
      <c r="J1198" s="37"/>
      <c r="K1198" s="6">
        <f>SUM(K1199+K1225)</f>
        <v>268710.7</v>
      </c>
    </row>
    <row r="1199" spans="1:11" s="26" customFormat="1" x14ac:dyDescent="0.25">
      <c r="A1199" s="93"/>
      <c r="B1199" s="1" t="s">
        <v>170</v>
      </c>
      <c r="C1199" s="39" t="s">
        <v>31</v>
      </c>
      <c r="D1199" s="39" t="s">
        <v>23</v>
      </c>
      <c r="E1199" s="37" t="s">
        <v>5</v>
      </c>
      <c r="F1199" s="37" t="s">
        <v>7</v>
      </c>
      <c r="G1199" s="37" t="s">
        <v>117</v>
      </c>
      <c r="H1199" s="37"/>
      <c r="I1199" s="37"/>
      <c r="J1199" s="37"/>
      <c r="K1199" s="6">
        <f>SUM(K1200)</f>
        <v>265460.7</v>
      </c>
    </row>
    <row r="1200" spans="1:11" s="26" customFormat="1" ht="31.2" x14ac:dyDescent="0.25">
      <c r="A1200" s="93"/>
      <c r="B1200" s="1" t="s">
        <v>118</v>
      </c>
      <c r="C1200" s="39" t="s">
        <v>31</v>
      </c>
      <c r="D1200" s="37" t="s">
        <v>23</v>
      </c>
      <c r="E1200" s="37" t="s">
        <v>5</v>
      </c>
      <c r="F1200" s="37" t="s">
        <v>7</v>
      </c>
      <c r="G1200" s="37" t="s">
        <v>117</v>
      </c>
      <c r="H1200" s="37" t="s">
        <v>2</v>
      </c>
      <c r="I1200" s="37"/>
      <c r="J1200" s="37"/>
      <c r="K1200" s="6">
        <f>SUM(K1217+K1206+K1223+K1201+K1215+K1213+K1221+K1211+K1219)</f>
        <v>265460.7</v>
      </c>
    </row>
    <row r="1201" spans="1:11" s="26" customFormat="1" ht="46.8" x14ac:dyDescent="0.25">
      <c r="A1201" s="93"/>
      <c r="B1201" s="1" t="s">
        <v>66</v>
      </c>
      <c r="C1201" s="39" t="s">
        <v>31</v>
      </c>
      <c r="D1201" s="37" t="s">
        <v>23</v>
      </c>
      <c r="E1201" s="37" t="s">
        <v>5</v>
      </c>
      <c r="F1201" s="37" t="s">
        <v>7</v>
      </c>
      <c r="G1201" s="37" t="s">
        <v>117</v>
      </c>
      <c r="H1201" s="37" t="s">
        <v>2</v>
      </c>
      <c r="I1201" s="37" t="s">
        <v>85</v>
      </c>
      <c r="J1201" s="37"/>
      <c r="K1201" s="6">
        <f>SUM(K1202:K1205)</f>
        <v>238085.7</v>
      </c>
    </row>
    <row r="1202" spans="1:11" s="26" customFormat="1" ht="47.25" customHeight="1" x14ac:dyDescent="0.25">
      <c r="A1202" s="93"/>
      <c r="B1202" s="3" t="s">
        <v>122</v>
      </c>
      <c r="C1202" s="39" t="s">
        <v>31</v>
      </c>
      <c r="D1202" s="37" t="s">
        <v>23</v>
      </c>
      <c r="E1202" s="37" t="s">
        <v>5</v>
      </c>
      <c r="F1202" s="37" t="s">
        <v>7</v>
      </c>
      <c r="G1202" s="37" t="s">
        <v>117</v>
      </c>
      <c r="H1202" s="37" t="s">
        <v>2</v>
      </c>
      <c r="I1202" s="37" t="s">
        <v>85</v>
      </c>
      <c r="J1202" s="37" t="s">
        <v>48</v>
      </c>
      <c r="K1202" s="6">
        <f>2065.4+28405.2-0.3+0.3-0.1</f>
        <v>30470.500000000004</v>
      </c>
    </row>
    <row r="1203" spans="1:11" s="26" customFormat="1" ht="31.2" x14ac:dyDescent="0.25">
      <c r="A1203" s="93"/>
      <c r="B1203" s="1" t="s">
        <v>123</v>
      </c>
      <c r="C1203" s="39" t="s">
        <v>31</v>
      </c>
      <c r="D1203" s="37" t="s">
        <v>23</v>
      </c>
      <c r="E1203" s="37" t="s">
        <v>5</v>
      </c>
      <c r="F1203" s="37" t="s">
        <v>7</v>
      </c>
      <c r="G1203" s="37" t="s">
        <v>117</v>
      </c>
      <c r="H1203" s="37" t="s">
        <v>2</v>
      </c>
      <c r="I1203" s="37" t="s">
        <v>85</v>
      </c>
      <c r="J1203" s="37" t="s">
        <v>49</v>
      </c>
      <c r="K1203" s="6">
        <f>2266.4-2065.4-1+978.6+34.8+448.8+350+0.1-7.6</f>
        <v>2004.6999999999998</v>
      </c>
    </row>
    <row r="1204" spans="1:11" s="26" customFormat="1" ht="31.2" x14ac:dyDescent="0.25">
      <c r="A1204" s="93"/>
      <c r="B1204" s="43" t="s">
        <v>121</v>
      </c>
      <c r="C1204" s="39" t="s">
        <v>31</v>
      </c>
      <c r="D1204" s="37" t="s">
        <v>23</v>
      </c>
      <c r="E1204" s="37" t="s">
        <v>5</v>
      </c>
      <c r="F1204" s="37" t="s">
        <v>7</v>
      </c>
      <c r="G1204" s="37" t="s">
        <v>117</v>
      </c>
      <c r="H1204" s="37" t="s">
        <v>2</v>
      </c>
      <c r="I1204" s="37" t="s">
        <v>85</v>
      </c>
      <c r="J1204" s="37" t="s">
        <v>59</v>
      </c>
      <c r="K1204" s="6">
        <f>208297.4-2183.4-512.4</f>
        <v>205601.6</v>
      </c>
    </row>
    <row r="1205" spans="1:11" s="26" customFormat="1" x14ac:dyDescent="0.25">
      <c r="A1205" s="93"/>
      <c r="B1205" s="1" t="s">
        <v>50</v>
      </c>
      <c r="C1205" s="39" t="s">
        <v>31</v>
      </c>
      <c r="D1205" s="37" t="s">
        <v>23</v>
      </c>
      <c r="E1205" s="37" t="s">
        <v>5</v>
      </c>
      <c r="F1205" s="37" t="s">
        <v>7</v>
      </c>
      <c r="G1205" s="37" t="s">
        <v>117</v>
      </c>
      <c r="H1205" s="37" t="s">
        <v>2</v>
      </c>
      <c r="I1205" s="37" t="s">
        <v>85</v>
      </c>
      <c r="J1205" s="37" t="s">
        <v>51</v>
      </c>
      <c r="K1205" s="6">
        <f>1+0.3+7.6</f>
        <v>8.9</v>
      </c>
    </row>
    <row r="1206" spans="1:11" s="26" customFormat="1" ht="46.8" x14ac:dyDescent="0.25">
      <c r="A1206" s="93"/>
      <c r="B1206" s="3" t="s">
        <v>399</v>
      </c>
      <c r="C1206" s="39" t="s">
        <v>31</v>
      </c>
      <c r="D1206" s="37" t="s">
        <v>23</v>
      </c>
      <c r="E1206" s="37" t="s">
        <v>5</v>
      </c>
      <c r="F1206" s="37" t="s">
        <v>7</v>
      </c>
      <c r="G1206" s="37" t="s">
        <v>117</v>
      </c>
      <c r="H1206" s="37" t="s">
        <v>2</v>
      </c>
      <c r="I1206" s="37" t="s">
        <v>152</v>
      </c>
      <c r="J1206" s="37"/>
      <c r="K1206" s="6">
        <f>SUM(K1207+K1208+K1209+K1210)</f>
        <v>1766</v>
      </c>
    </row>
    <row r="1207" spans="1:11" s="26" customFormat="1" ht="46.5" customHeight="1" x14ac:dyDescent="0.25">
      <c r="A1207" s="93"/>
      <c r="B1207" s="3" t="s">
        <v>122</v>
      </c>
      <c r="C1207" s="39" t="s">
        <v>31</v>
      </c>
      <c r="D1207" s="37" t="s">
        <v>23</v>
      </c>
      <c r="E1207" s="37" t="s">
        <v>5</v>
      </c>
      <c r="F1207" s="37" t="s">
        <v>7</v>
      </c>
      <c r="G1207" s="37" t="s">
        <v>117</v>
      </c>
      <c r="H1207" s="37" t="s">
        <v>2</v>
      </c>
      <c r="I1207" s="37" t="s">
        <v>152</v>
      </c>
      <c r="J1207" s="37" t="s">
        <v>48</v>
      </c>
      <c r="K1207" s="6"/>
    </row>
    <row r="1208" spans="1:11" s="26" customFormat="1" ht="31.2" x14ac:dyDescent="0.25">
      <c r="A1208" s="93"/>
      <c r="B1208" s="1" t="s">
        <v>123</v>
      </c>
      <c r="C1208" s="39" t="s">
        <v>31</v>
      </c>
      <c r="D1208" s="37" t="s">
        <v>23</v>
      </c>
      <c r="E1208" s="37" t="s">
        <v>5</v>
      </c>
      <c r="F1208" s="37" t="s">
        <v>7</v>
      </c>
      <c r="G1208" s="37" t="s">
        <v>117</v>
      </c>
      <c r="H1208" s="37" t="s">
        <v>2</v>
      </c>
      <c r="I1208" s="37" t="s">
        <v>152</v>
      </c>
      <c r="J1208" s="37" t="s">
        <v>49</v>
      </c>
      <c r="K1208" s="6">
        <v>750</v>
      </c>
    </row>
    <row r="1209" spans="1:11" s="26" customFormat="1" x14ac:dyDescent="0.25">
      <c r="A1209" s="93"/>
      <c r="B1209" s="3" t="s">
        <v>55</v>
      </c>
      <c r="C1209" s="39" t="s">
        <v>31</v>
      </c>
      <c r="D1209" s="37" t="s">
        <v>23</v>
      </c>
      <c r="E1209" s="37" t="s">
        <v>5</v>
      </c>
      <c r="F1209" s="37" t="s">
        <v>7</v>
      </c>
      <c r="G1209" s="37" t="s">
        <v>117</v>
      </c>
      <c r="H1209" s="37" t="s">
        <v>2</v>
      </c>
      <c r="I1209" s="37" t="s">
        <v>152</v>
      </c>
      <c r="J1209" s="37" t="s">
        <v>56</v>
      </c>
      <c r="K1209" s="6">
        <v>1016</v>
      </c>
    </row>
    <row r="1210" spans="1:11" s="26" customFormat="1" ht="31.2" x14ac:dyDescent="0.25">
      <c r="A1210" s="93"/>
      <c r="B1210" s="43" t="s">
        <v>121</v>
      </c>
      <c r="C1210" s="39" t="s">
        <v>31</v>
      </c>
      <c r="D1210" s="37" t="s">
        <v>23</v>
      </c>
      <c r="E1210" s="37" t="s">
        <v>5</v>
      </c>
      <c r="F1210" s="37" t="s">
        <v>7</v>
      </c>
      <c r="G1210" s="37" t="s">
        <v>117</v>
      </c>
      <c r="H1210" s="37" t="s">
        <v>2</v>
      </c>
      <c r="I1210" s="37" t="s">
        <v>152</v>
      </c>
      <c r="J1210" s="37" t="s">
        <v>59</v>
      </c>
      <c r="K1210" s="6"/>
    </row>
    <row r="1211" spans="1:11" s="26" customFormat="1" ht="46.8" x14ac:dyDescent="0.25">
      <c r="A1211" s="93"/>
      <c r="B1211" s="43" t="s">
        <v>612</v>
      </c>
      <c r="C1211" s="39" t="s">
        <v>31</v>
      </c>
      <c r="D1211" s="37" t="s">
        <v>23</v>
      </c>
      <c r="E1211" s="37" t="s">
        <v>5</v>
      </c>
      <c r="F1211" s="37" t="s">
        <v>7</v>
      </c>
      <c r="G1211" s="37" t="s">
        <v>117</v>
      </c>
      <c r="H1211" s="37" t="s">
        <v>2</v>
      </c>
      <c r="I1211" s="37" t="s">
        <v>611</v>
      </c>
      <c r="J1211" s="37"/>
      <c r="K1211" s="6">
        <f>K1212</f>
        <v>136</v>
      </c>
    </row>
    <row r="1212" spans="1:11" s="26" customFormat="1" ht="31.2" x14ac:dyDescent="0.25">
      <c r="A1212" s="93"/>
      <c r="B1212" s="43" t="s">
        <v>121</v>
      </c>
      <c r="C1212" s="39" t="s">
        <v>31</v>
      </c>
      <c r="D1212" s="37" t="s">
        <v>23</v>
      </c>
      <c r="E1212" s="37" t="s">
        <v>5</v>
      </c>
      <c r="F1212" s="37" t="s">
        <v>7</v>
      </c>
      <c r="G1212" s="37" t="s">
        <v>117</v>
      </c>
      <c r="H1212" s="37" t="s">
        <v>2</v>
      </c>
      <c r="I1212" s="37" t="s">
        <v>611</v>
      </c>
      <c r="J1212" s="37" t="s">
        <v>59</v>
      </c>
      <c r="K1212" s="6">
        <v>136</v>
      </c>
    </row>
    <row r="1213" spans="1:11" s="26" customFormat="1" x14ac:dyDescent="0.25">
      <c r="A1213" s="93"/>
      <c r="B1213" s="43" t="s">
        <v>590</v>
      </c>
      <c r="C1213" s="39" t="s">
        <v>31</v>
      </c>
      <c r="D1213" s="37" t="s">
        <v>23</v>
      </c>
      <c r="E1213" s="37" t="s">
        <v>5</v>
      </c>
      <c r="F1213" s="37" t="s">
        <v>7</v>
      </c>
      <c r="G1213" s="37" t="s">
        <v>117</v>
      </c>
      <c r="H1213" s="37" t="s">
        <v>2</v>
      </c>
      <c r="I1213" s="37" t="s">
        <v>589</v>
      </c>
      <c r="J1213" s="39"/>
      <c r="K1213" s="6">
        <v>1056</v>
      </c>
    </row>
    <row r="1214" spans="1:11" s="26" customFormat="1" ht="31.2" x14ac:dyDescent="0.25">
      <c r="A1214" s="93"/>
      <c r="B1214" s="43" t="s">
        <v>121</v>
      </c>
      <c r="C1214" s="39" t="s">
        <v>31</v>
      </c>
      <c r="D1214" s="37" t="s">
        <v>23</v>
      </c>
      <c r="E1214" s="37" t="s">
        <v>5</v>
      </c>
      <c r="F1214" s="37" t="s">
        <v>7</v>
      </c>
      <c r="G1214" s="37" t="s">
        <v>117</v>
      </c>
      <c r="H1214" s="37" t="s">
        <v>2</v>
      </c>
      <c r="I1214" s="37" t="s">
        <v>589</v>
      </c>
      <c r="J1214" s="39" t="s">
        <v>59</v>
      </c>
      <c r="K1214" s="6">
        <v>1056</v>
      </c>
    </row>
    <row r="1215" spans="1:11" s="26" customFormat="1" ht="31.2" x14ac:dyDescent="0.25">
      <c r="A1215" s="93"/>
      <c r="B1215" s="43" t="s">
        <v>579</v>
      </c>
      <c r="C1215" s="39" t="s">
        <v>31</v>
      </c>
      <c r="D1215" s="37" t="s">
        <v>23</v>
      </c>
      <c r="E1215" s="37" t="s">
        <v>5</v>
      </c>
      <c r="F1215" s="37" t="s">
        <v>7</v>
      </c>
      <c r="G1215" s="37" t="s">
        <v>117</v>
      </c>
      <c r="H1215" s="37" t="s">
        <v>2</v>
      </c>
      <c r="I1215" s="37" t="s">
        <v>578</v>
      </c>
      <c r="J1215" s="39"/>
      <c r="K1215" s="6">
        <f>K1216</f>
        <v>12065.5</v>
      </c>
    </row>
    <row r="1216" spans="1:11" s="26" customFormat="1" ht="33" customHeight="1" x14ac:dyDescent="0.25">
      <c r="A1216" s="93"/>
      <c r="B1216" s="43" t="s">
        <v>121</v>
      </c>
      <c r="C1216" s="39" t="s">
        <v>31</v>
      </c>
      <c r="D1216" s="37" t="s">
        <v>23</v>
      </c>
      <c r="E1216" s="37" t="s">
        <v>5</v>
      </c>
      <c r="F1216" s="37" t="s">
        <v>7</v>
      </c>
      <c r="G1216" s="37" t="s">
        <v>117</v>
      </c>
      <c r="H1216" s="37" t="s">
        <v>2</v>
      </c>
      <c r="I1216" s="37" t="s">
        <v>578</v>
      </c>
      <c r="J1216" s="39" t="s">
        <v>59</v>
      </c>
      <c r="K1216" s="6">
        <f>14717.4+512.4-597.7-96.9-2469.7</f>
        <v>12065.5</v>
      </c>
    </row>
    <row r="1217" spans="1:11" ht="93" customHeight="1" x14ac:dyDescent="0.25">
      <c r="A1217" s="93"/>
      <c r="B1217" s="41" t="s">
        <v>227</v>
      </c>
      <c r="C1217" s="39" t="s">
        <v>31</v>
      </c>
      <c r="D1217" s="37" t="s">
        <v>23</v>
      </c>
      <c r="E1217" s="37" t="s">
        <v>5</v>
      </c>
      <c r="F1217" s="37" t="s">
        <v>7</v>
      </c>
      <c r="G1217" s="37" t="s">
        <v>117</v>
      </c>
      <c r="H1217" s="37" t="s">
        <v>2</v>
      </c>
      <c r="I1217" s="37" t="s">
        <v>119</v>
      </c>
      <c r="J1217" s="37"/>
      <c r="K1217" s="6">
        <f>SUM(K1218)</f>
        <v>625</v>
      </c>
    </row>
    <row r="1218" spans="1:11" ht="31.2" x14ac:dyDescent="0.25">
      <c r="A1218" s="93"/>
      <c r="B1218" s="43" t="s">
        <v>121</v>
      </c>
      <c r="C1218" s="39" t="s">
        <v>31</v>
      </c>
      <c r="D1218" s="37" t="s">
        <v>23</v>
      </c>
      <c r="E1218" s="37" t="s">
        <v>5</v>
      </c>
      <c r="F1218" s="37" t="s">
        <v>7</v>
      </c>
      <c r="G1218" s="37" t="s">
        <v>117</v>
      </c>
      <c r="H1218" s="37" t="s">
        <v>2</v>
      </c>
      <c r="I1218" s="37" t="s">
        <v>119</v>
      </c>
      <c r="J1218" s="37" t="s">
        <v>59</v>
      </c>
      <c r="K1218" s="6">
        <f>687.5-62.5</f>
        <v>625</v>
      </c>
    </row>
    <row r="1219" spans="1:11" ht="72.599999999999994" customHeight="1" x14ac:dyDescent="0.25">
      <c r="A1219" s="93"/>
      <c r="B1219" s="110" t="s">
        <v>199</v>
      </c>
      <c r="C1219" s="111" t="s">
        <v>31</v>
      </c>
      <c r="D1219" s="112" t="s">
        <v>23</v>
      </c>
      <c r="E1219" s="112" t="s">
        <v>5</v>
      </c>
      <c r="F1219" s="112" t="s">
        <v>7</v>
      </c>
      <c r="G1219" s="112" t="s">
        <v>117</v>
      </c>
      <c r="H1219" s="112" t="s">
        <v>2</v>
      </c>
      <c r="I1219" s="112" t="s">
        <v>107</v>
      </c>
      <c r="J1219" s="112"/>
      <c r="K1219" s="113">
        <f>K1220</f>
        <v>96.1</v>
      </c>
    </row>
    <row r="1220" spans="1:11" ht="27.6" x14ac:dyDescent="0.25">
      <c r="A1220" s="93"/>
      <c r="B1220" s="110" t="s">
        <v>121</v>
      </c>
      <c r="C1220" s="111" t="s">
        <v>31</v>
      </c>
      <c r="D1220" s="112" t="s">
        <v>23</v>
      </c>
      <c r="E1220" s="112" t="s">
        <v>5</v>
      </c>
      <c r="F1220" s="112" t="s">
        <v>7</v>
      </c>
      <c r="G1220" s="112" t="s">
        <v>117</v>
      </c>
      <c r="H1220" s="112" t="s">
        <v>2</v>
      </c>
      <c r="I1220" s="112" t="s">
        <v>107</v>
      </c>
      <c r="J1220" s="112" t="s">
        <v>59</v>
      </c>
      <c r="K1220" s="113">
        <v>96.1</v>
      </c>
    </row>
    <row r="1221" spans="1:11" ht="27.6" x14ac:dyDescent="0.25">
      <c r="A1221" s="93"/>
      <c r="B1221" s="110" t="s">
        <v>289</v>
      </c>
      <c r="C1221" s="111" t="s">
        <v>31</v>
      </c>
      <c r="D1221" s="112" t="s">
        <v>23</v>
      </c>
      <c r="E1221" s="112" t="s">
        <v>5</v>
      </c>
      <c r="F1221" s="112" t="s">
        <v>7</v>
      </c>
      <c r="G1221" s="112" t="s">
        <v>117</v>
      </c>
      <c r="H1221" s="112" t="s">
        <v>2</v>
      </c>
      <c r="I1221" s="112" t="s">
        <v>288</v>
      </c>
      <c r="J1221" s="112"/>
      <c r="K1221" s="113">
        <f>K1222</f>
        <v>9492.4</v>
      </c>
    </row>
    <row r="1222" spans="1:11" ht="27.6" x14ac:dyDescent="0.25">
      <c r="A1222" s="93"/>
      <c r="B1222" s="114" t="s">
        <v>121</v>
      </c>
      <c r="C1222" s="111" t="s">
        <v>31</v>
      </c>
      <c r="D1222" s="112" t="s">
        <v>23</v>
      </c>
      <c r="E1222" s="112" t="s">
        <v>5</v>
      </c>
      <c r="F1222" s="112" t="s">
        <v>7</v>
      </c>
      <c r="G1222" s="112" t="s">
        <v>117</v>
      </c>
      <c r="H1222" s="112" t="s">
        <v>2</v>
      </c>
      <c r="I1222" s="112" t="s">
        <v>288</v>
      </c>
      <c r="J1222" s="112" t="s">
        <v>59</v>
      </c>
      <c r="K1222" s="113">
        <v>9492.4</v>
      </c>
    </row>
    <row r="1223" spans="1:11" ht="27.6" x14ac:dyDescent="0.25">
      <c r="A1223" s="93"/>
      <c r="B1223" s="115" t="s">
        <v>314</v>
      </c>
      <c r="C1223" s="111" t="s">
        <v>31</v>
      </c>
      <c r="D1223" s="112" t="s">
        <v>23</v>
      </c>
      <c r="E1223" s="112" t="s">
        <v>5</v>
      </c>
      <c r="F1223" s="112" t="s">
        <v>7</v>
      </c>
      <c r="G1223" s="112" t="s">
        <v>117</v>
      </c>
      <c r="H1223" s="112" t="s">
        <v>2</v>
      </c>
      <c r="I1223" s="112" t="s">
        <v>213</v>
      </c>
      <c r="J1223" s="111"/>
      <c r="K1223" s="113">
        <f>K1224</f>
        <v>2138</v>
      </c>
    </row>
    <row r="1224" spans="1:11" ht="27.6" x14ac:dyDescent="0.25">
      <c r="A1224" s="93"/>
      <c r="B1224" s="114" t="s">
        <v>121</v>
      </c>
      <c r="C1224" s="111" t="s">
        <v>31</v>
      </c>
      <c r="D1224" s="112" t="s">
        <v>23</v>
      </c>
      <c r="E1224" s="112" t="s">
        <v>5</v>
      </c>
      <c r="F1224" s="112" t="s">
        <v>7</v>
      </c>
      <c r="G1224" s="112" t="s">
        <v>117</v>
      </c>
      <c r="H1224" s="112" t="s">
        <v>2</v>
      </c>
      <c r="I1224" s="112" t="s">
        <v>213</v>
      </c>
      <c r="J1224" s="111" t="s">
        <v>59</v>
      </c>
      <c r="K1224" s="113">
        <f>1753.1+384.8+0.1</f>
        <v>2138</v>
      </c>
    </row>
    <row r="1225" spans="1:11" s="26" customFormat="1" x14ac:dyDescent="0.25">
      <c r="A1225" s="93"/>
      <c r="B1225" s="114" t="s">
        <v>171</v>
      </c>
      <c r="C1225" s="111" t="s">
        <v>31</v>
      </c>
      <c r="D1225" s="112" t="s">
        <v>23</v>
      </c>
      <c r="E1225" s="112" t="s">
        <v>5</v>
      </c>
      <c r="F1225" s="112" t="s">
        <v>7</v>
      </c>
      <c r="G1225" s="112" t="s">
        <v>129</v>
      </c>
      <c r="H1225" s="112"/>
      <c r="I1225" s="112"/>
      <c r="J1225" s="112"/>
      <c r="K1225" s="113">
        <f t="shared" ref="K1225:K1226" si="50">SUM(K1226)</f>
        <v>3250</v>
      </c>
    </row>
    <row r="1226" spans="1:11" s="26" customFormat="1" ht="46.8" x14ac:dyDescent="0.25">
      <c r="A1226" s="93"/>
      <c r="B1226" s="3" t="s">
        <v>153</v>
      </c>
      <c r="C1226" s="39" t="s">
        <v>31</v>
      </c>
      <c r="D1226" s="37" t="s">
        <v>23</v>
      </c>
      <c r="E1226" s="37" t="s">
        <v>5</v>
      </c>
      <c r="F1226" s="37" t="s">
        <v>7</v>
      </c>
      <c r="G1226" s="37" t="s">
        <v>129</v>
      </c>
      <c r="H1226" s="37" t="s">
        <v>2</v>
      </c>
      <c r="I1226" s="37"/>
      <c r="J1226" s="37"/>
      <c r="K1226" s="6">
        <f t="shared" si="50"/>
        <v>3250</v>
      </c>
    </row>
    <row r="1227" spans="1:11" s="26" customFormat="1" x14ac:dyDescent="0.25">
      <c r="A1227" s="93"/>
      <c r="B1227" s="3" t="s">
        <v>522</v>
      </c>
      <c r="C1227" s="39" t="s">
        <v>31</v>
      </c>
      <c r="D1227" s="37" t="s">
        <v>23</v>
      </c>
      <c r="E1227" s="37" t="s">
        <v>5</v>
      </c>
      <c r="F1227" s="37" t="s">
        <v>7</v>
      </c>
      <c r="G1227" s="37" t="s">
        <v>129</v>
      </c>
      <c r="H1227" s="37" t="s">
        <v>2</v>
      </c>
      <c r="I1227" s="37" t="s">
        <v>154</v>
      </c>
      <c r="J1227" s="37"/>
      <c r="K1227" s="6">
        <f>SUM(K1228:K1231)</f>
        <v>3250</v>
      </c>
    </row>
    <row r="1228" spans="1:11" s="26" customFormat="1" ht="47.25" customHeight="1" x14ac:dyDescent="0.25">
      <c r="A1228" s="93"/>
      <c r="B1228" s="3" t="s">
        <v>122</v>
      </c>
      <c r="C1228" s="39" t="s">
        <v>31</v>
      </c>
      <c r="D1228" s="37" t="s">
        <v>23</v>
      </c>
      <c r="E1228" s="37" t="s">
        <v>5</v>
      </c>
      <c r="F1228" s="37" t="s">
        <v>7</v>
      </c>
      <c r="G1228" s="37" t="s">
        <v>129</v>
      </c>
      <c r="H1228" s="37" t="s">
        <v>2</v>
      </c>
      <c r="I1228" s="37" t="s">
        <v>154</v>
      </c>
      <c r="J1228" s="37" t="s">
        <v>48</v>
      </c>
      <c r="K1228" s="6"/>
    </row>
    <row r="1229" spans="1:11" s="26" customFormat="1" ht="31.2" x14ac:dyDescent="0.25">
      <c r="A1229" s="93"/>
      <c r="B1229" s="1" t="s">
        <v>123</v>
      </c>
      <c r="C1229" s="39" t="s">
        <v>31</v>
      </c>
      <c r="D1229" s="37" t="s">
        <v>23</v>
      </c>
      <c r="E1229" s="37" t="s">
        <v>5</v>
      </c>
      <c r="F1229" s="37" t="s">
        <v>7</v>
      </c>
      <c r="G1229" s="37" t="s">
        <v>129</v>
      </c>
      <c r="H1229" s="37" t="s">
        <v>2</v>
      </c>
      <c r="I1229" s="37" t="s">
        <v>154</v>
      </c>
      <c r="J1229" s="37" t="s">
        <v>49</v>
      </c>
      <c r="K1229" s="6">
        <f>2700-500+508-354.6</f>
        <v>2353.4</v>
      </c>
    </row>
    <row r="1230" spans="1:11" s="26" customFormat="1" x14ac:dyDescent="0.25">
      <c r="A1230" s="93"/>
      <c r="B1230" s="1" t="s">
        <v>55</v>
      </c>
      <c r="C1230" s="39" t="s">
        <v>31</v>
      </c>
      <c r="D1230" s="37" t="s">
        <v>23</v>
      </c>
      <c r="E1230" s="37" t="s">
        <v>5</v>
      </c>
      <c r="F1230" s="37" t="s">
        <v>7</v>
      </c>
      <c r="G1230" s="37" t="s">
        <v>129</v>
      </c>
      <c r="H1230" s="37" t="s">
        <v>2</v>
      </c>
      <c r="I1230" s="37" t="s">
        <v>154</v>
      </c>
      <c r="J1230" s="37" t="s">
        <v>56</v>
      </c>
      <c r="K1230" s="6">
        <f>500+42</f>
        <v>542</v>
      </c>
    </row>
    <row r="1231" spans="1:11" ht="31.2" x14ac:dyDescent="0.25">
      <c r="A1231" s="93"/>
      <c r="B1231" s="3" t="s">
        <v>121</v>
      </c>
      <c r="C1231" s="39" t="s">
        <v>31</v>
      </c>
      <c r="D1231" s="37" t="s">
        <v>23</v>
      </c>
      <c r="E1231" s="37" t="s">
        <v>5</v>
      </c>
      <c r="F1231" s="37" t="s">
        <v>7</v>
      </c>
      <c r="G1231" s="37" t="s">
        <v>129</v>
      </c>
      <c r="H1231" s="37" t="s">
        <v>2</v>
      </c>
      <c r="I1231" s="37" t="s">
        <v>154</v>
      </c>
      <c r="J1231" s="37" t="s">
        <v>59</v>
      </c>
      <c r="K1231" s="6">
        <f>550-550+354.6</f>
        <v>354.6</v>
      </c>
    </row>
    <row r="1232" spans="1:11" ht="31.2" x14ac:dyDescent="0.25">
      <c r="A1232" s="93"/>
      <c r="B1232" s="40" t="s">
        <v>196</v>
      </c>
      <c r="C1232" s="39" t="s">
        <v>31</v>
      </c>
      <c r="D1232" s="37" t="s">
        <v>23</v>
      </c>
      <c r="E1232" s="37" t="s">
        <v>5</v>
      </c>
      <c r="F1232" s="37" t="s">
        <v>40</v>
      </c>
      <c r="G1232" s="37"/>
      <c r="H1232" s="37"/>
      <c r="I1232" s="37"/>
      <c r="J1232" s="37"/>
      <c r="K1232" s="6">
        <f>K1233+K1237</f>
        <v>17081.800000000003</v>
      </c>
    </row>
    <row r="1233" spans="1:19" x14ac:dyDescent="0.25">
      <c r="A1233" s="93"/>
      <c r="B1233" s="40" t="s">
        <v>164</v>
      </c>
      <c r="C1233" s="39" t="s">
        <v>31</v>
      </c>
      <c r="D1233" s="37" t="s">
        <v>23</v>
      </c>
      <c r="E1233" s="39" t="s">
        <v>5</v>
      </c>
      <c r="F1233" s="39" t="s">
        <v>40</v>
      </c>
      <c r="G1233" s="2">
        <v>2</v>
      </c>
      <c r="H1233" s="39"/>
      <c r="I1233" s="39"/>
      <c r="J1233" s="39"/>
      <c r="K1233" s="6">
        <f>K1234</f>
        <v>0</v>
      </c>
    </row>
    <row r="1234" spans="1:19" ht="31.2" x14ac:dyDescent="0.25">
      <c r="A1234" s="93"/>
      <c r="B1234" s="40" t="s">
        <v>195</v>
      </c>
      <c r="C1234" s="39" t="s">
        <v>31</v>
      </c>
      <c r="D1234" s="37" t="s">
        <v>23</v>
      </c>
      <c r="E1234" s="39" t="s">
        <v>5</v>
      </c>
      <c r="F1234" s="39" t="s">
        <v>40</v>
      </c>
      <c r="G1234" s="2">
        <v>2</v>
      </c>
      <c r="H1234" s="39" t="s">
        <v>4</v>
      </c>
      <c r="I1234" s="39"/>
      <c r="J1234" s="39"/>
      <c r="K1234" s="6">
        <f>K1235</f>
        <v>0</v>
      </c>
    </row>
    <row r="1235" spans="1:19" ht="48.75" customHeight="1" x14ac:dyDescent="0.25">
      <c r="A1235" s="93"/>
      <c r="B1235" s="40" t="s">
        <v>219</v>
      </c>
      <c r="C1235" s="39" t="s">
        <v>31</v>
      </c>
      <c r="D1235" s="37" t="s">
        <v>23</v>
      </c>
      <c r="E1235" s="39" t="s">
        <v>5</v>
      </c>
      <c r="F1235" s="39" t="s">
        <v>40</v>
      </c>
      <c r="G1235" s="2">
        <v>2</v>
      </c>
      <c r="H1235" s="39" t="s">
        <v>4</v>
      </c>
      <c r="I1235" s="39" t="s">
        <v>194</v>
      </c>
      <c r="J1235" s="39"/>
      <c r="K1235" s="6">
        <f>K1236</f>
        <v>0</v>
      </c>
    </row>
    <row r="1236" spans="1:19" ht="31.2" x14ac:dyDescent="0.25">
      <c r="A1236" s="93"/>
      <c r="B1236" s="43" t="s">
        <v>121</v>
      </c>
      <c r="C1236" s="39" t="s">
        <v>31</v>
      </c>
      <c r="D1236" s="37" t="s">
        <v>23</v>
      </c>
      <c r="E1236" s="39" t="s">
        <v>5</v>
      </c>
      <c r="F1236" s="39" t="s">
        <v>40</v>
      </c>
      <c r="G1236" s="2">
        <v>2</v>
      </c>
      <c r="H1236" s="39" t="s">
        <v>4</v>
      </c>
      <c r="I1236" s="39" t="s">
        <v>194</v>
      </c>
      <c r="J1236" s="39" t="s">
        <v>59</v>
      </c>
      <c r="K1236" s="6"/>
    </row>
    <row r="1237" spans="1:19" x14ac:dyDescent="0.25">
      <c r="A1237" s="93"/>
      <c r="B1237" s="1" t="s">
        <v>388</v>
      </c>
      <c r="C1237" s="39" t="s">
        <v>31</v>
      </c>
      <c r="D1237" s="37" t="s">
        <v>23</v>
      </c>
      <c r="E1237" s="37" t="s">
        <v>5</v>
      </c>
      <c r="F1237" s="37" t="s">
        <v>40</v>
      </c>
      <c r="G1237" s="37" t="s">
        <v>139</v>
      </c>
      <c r="H1237" s="37"/>
      <c r="I1237" s="37"/>
      <c r="J1237" s="39"/>
      <c r="K1237" s="6">
        <f>K1238</f>
        <v>17081.800000000003</v>
      </c>
    </row>
    <row r="1238" spans="1:19" s="50" customFormat="1" ht="31.5" customHeight="1" x14ac:dyDescent="0.25">
      <c r="A1238" s="93"/>
      <c r="B1238" s="1" t="s">
        <v>391</v>
      </c>
      <c r="C1238" s="39" t="s">
        <v>31</v>
      </c>
      <c r="D1238" s="37" t="s">
        <v>23</v>
      </c>
      <c r="E1238" s="37" t="s">
        <v>5</v>
      </c>
      <c r="F1238" s="37" t="s">
        <v>40</v>
      </c>
      <c r="G1238" s="37" t="s">
        <v>139</v>
      </c>
      <c r="H1238" s="37" t="s">
        <v>2</v>
      </c>
      <c r="I1238" s="37"/>
      <c r="J1238" s="39"/>
      <c r="K1238" s="6">
        <f>K1239</f>
        <v>17081.800000000003</v>
      </c>
      <c r="L1238" s="15"/>
      <c r="M1238" s="15"/>
      <c r="N1238" s="15"/>
      <c r="O1238" s="15"/>
      <c r="P1238" s="15"/>
      <c r="Q1238" s="15"/>
      <c r="R1238" s="15"/>
      <c r="S1238" s="15"/>
    </row>
    <row r="1239" spans="1:19" s="50" customFormat="1" ht="47.25" customHeight="1" x14ac:dyDescent="0.25">
      <c r="A1239" s="93"/>
      <c r="B1239" s="1" t="s">
        <v>392</v>
      </c>
      <c r="C1239" s="39" t="s">
        <v>31</v>
      </c>
      <c r="D1239" s="37" t="s">
        <v>23</v>
      </c>
      <c r="E1239" s="37" t="s">
        <v>5</v>
      </c>
      <c r="F1239" s="37" t="s">
        <v>40</v>
      </c>
      <c r="G1239" s="37" t="s">
        <v>139</v>
      </c>
      <c r="H1239" s="37" t="s">
        <v>2</v>
      </c>
      <c r="I1239" s="37" t="s">
        <v>151</v>
      </c>
      <c r="J1239" s="39"/>
      <c r="K1239" s="6">
        <f>K1240</f>
        <v>17081.800000000003</v>
      </c>
      <c r="L1239" s="15"/>
      <c r="M1239" s="15"/>
      <c r="N1239" s="15"/>
      <c r="O1239" s="15"/>
      <c r="P1239" s="15"/>
      <c r="Q1239" s="15"/>
      <c r="R1239" s="15"/>
      <c r="S1239" s="15"/>
    </row>
    <row r="1240" spans="1:19" s="50" customFormat="1" ht="31.2" x14ac:dyDescent="0.25">
      <c r="A1240" s="93"/>
      <c r="B1240" s="43" t="s">
        <v>121</v>
      </c>
      <c r="C1240" s="39" t="s">
        <v>31</v>
      </c>
      <c r="D1240" s="37" t="s">
        <v>23</v>
      </c>
      <c r="E1240" s="37" t="s">
        <v>5</v>
      </c>
      <c r="F1240" s="37" t="s">
        <v>40</v>
      </c>
      <c r="G1240" s="37" t="s">
        <v>139</v>
      </c>
      <c r="H1240" s="37" t="s">
        <v>2</v>
      </c>
      <c r="I1240" s="37" t="s">
        <v>151</v>
      </c>
      <c r="J1240" s="39" t="s">
        <v>59</v>
      </c>
      <c r="K1240" s="6">
        <f>4212+4258.8-3380.2+602.4-1050.6+12439.5-0.1</f>
        <v>17081.800000000003</v>
      </c>
      <c r="L1240" s="15"/>
      <c r="M1240" s="15"/>
      <c r="N1240" s="15"/>
      <c r="O1240" s="15"/>
      <c r="P1240" s="15"/>
      <c r="Q1240" s="15"/>
      <c r="R1240" s="15"/>
      <c r="S1240" s="15"/>
    </row>
    <row r="1241" spans="1:19" s="50" customFormat="1" x14ac:dyDescent="0.25">
      <c r="A1241" s="93"/>
      <c r="B1241" s="60" t="s">
        <v>65</v>
      </c>
      <c r="C1241" s="39">
        <v>929</v>
      </c>
      <c r="D1241" s="37" t="s">
        <v>23</v>
      </c>
      <c r="E1241" s="37" t="s">
        <v>7</v>
      </c>
      <c r="F1241" s="37"/>
      <c r="G1241" s="37"/>
      <c r="H1241" s="37"/>
      <c r="I1241" s="37"/>
      <c r="J1241" s="37"/>
      <c r="K1241" s="6">
        <f>K1242+K1251</f>
        <v>8240.1</v>
      </c>
      <c r="L1241" s="15"/>
      <c r="M1241" s="15"/>
      <c r="N1241" s="15"/>
      <c r="O1241" s="15"/>
      <c r="P1241" s="15"/>
      <c r="Q1241" s="15"/>
      <c r="R1241" s="15"/>
      <c r="S1241" s="15"/>
    </row>
    <row r="1242" spans="1:19" s="50" customFormat="1" x14ac:dyDescent="0.25">
      <c r="A1242" s="93"/>
      <c r="B1242" s="60" t="s">
        <v>397</v>
      </c>
      <c r="C1242" s="39" t="s">
        <v>31</v>
      </c>
      <c r="D1242" s="37" t="s">
        <v>23</v>
      </c>
      <c r="E1242" s="37" t="s">
        <v>7</v>
      </c>
      <c r="F1242" s="37" t="s">
        <v>7</v>
      </c>
      <c r="G1242" s="37"/>
      <c r="H1242" s="37"/>
      <c r="I1242" s="37"/>
      <c r="J1242" s="37"/>
      <c r="K1242" s="6">
        <f t="shared" ref="K1242:K1243" si="51">SUM(K1243)</f>
        <v>7191.8</v>
      </c>
      <c r="L1242" s="15"/>
      <c r="M1242" s="15"/>
      <c r="N1242" s="15"/>
      <c r="O1242" s="15"/>
      <c r="P1242" s="15"/>
      <c r="Q1242" s="15"/>
      <c r="R1242" s="15"/>
      <c r="S1242" s="15"/>
    </row>
    <row r="1243" spans="1:19" s="50" customFormat="1" ht="46.8" x14ac:dyDescent="0.25">
      <c r="A1243" s="93"/>
      <c r="B1243" s="60" t="s">
        <v>172</v>
      </c>
      <c r="C1243" s="39" t="s">
        <v>31</v>
      </c>
      <c r="D1243" s="37" t="s">
        <v>23</v>
      </c>
      <c r="E1243" s="37" t="s">
        <v>7</v>
      </c>
      <c r="F1243" s="37" t="s">
        <v>7</v>
      </c>
      <c r="G1243" s="37" t="s">
        <v>90</v>
      </c>
      <c r="H1243" s="37"/>
      <c r="I1243" s="37"/>
      <c r="J1243" s="37"/>
      <c r="K1243" s="6">
        <f t="shared" si="51"/>
        <v>7191.8</v>
      </c>
      <c r="L1243" s="15"/>
      <c r="M1243" s="15"/>
      <c r="N1243" s="15"/>
      <c r="O1243" s="15"/>
      <c r="P1243" s="15"/>
      <c r="Q1243" s="15"/>
      <c r="R1243" s="15"/>
      <c r="S1243" s="15"/>
    </row>
    <row r="1244" spans="1:19" s="50" customFormat="1" ht="46.8" x14ac:dyDescent="0.25">
      <c r="A1244" s="93"/>
      <c r="B1244" s="60" t="s">
        <v>398</v>
      </c>
      <c r="C1244" s="39" t="s">
        <v>31</v>
      </c>
      <c r="D1244" s="37" t="s">
        <v>23</v>
      </c>
      <c r="E1244" s="37" t="s">
        <v>7</v>
      </c>
      <c r="F1244" s="37" t="s">
        <v>7</v>
      </c>
      <c r="G1244" s="37" t="s">
        <v>90</v>
      </c>
      <c r="H1244" s="37" t="s">
        <v>2</v>
      </c>
      <c r="I1244" s="37"/>
      <c r="J1244" s="37"/>
      <c r="K1244" s="6">
        <f>SUM(K1245+K1249)</f>
        <v>7191.8</v>
      </c>
      <c r="L1244" s="15"/>
      <c r="M1244" s="15"/>
      <c r="N1244" s="15"/>
      <c r="O1244" s="15"/>
      <c r="P1244" s="15"/>
      <c r="Q1244" s="15"/>
      <c r="R1244" s="15"/>
      <c r="S1244" s="15"/>
    </row>
    <row r="1245" spans="1:19" s="50" customFormat="1" x14ac:dyDescent="0.25">
      <c r="A1245" s="93"/>
      <c r="B1245" s="1" t="s">
        <v>47</v>
      </c>
      <c r="C1245" s="39" t="s">
        <v>31</v>
      </c>
      <c r="D1245" s="37" t="s">
        <v>23</v>
      </c>
      <c r="E1245" s="37" t="s">
        <v>7</v>
      </c>
      <c r="F1245" s="37" t="s">
        <v>7</v>
      </c>
      <c r="G1245" s="37" t="s">
        <v>90</v>
      </c>
      <c r="H1245" s="37" t="s">
        <v>2</v>
      </c>
      <c r="I1245" s="37" t="s">
        <v>78</v>
      </c>
      <c r="J1245" s="37"/>
      <c r="K1245" s="6">
        <f>SUM(K1246:K1248)</f>
        <v>7171.7</v>
      </c>
      <c r="L1245" s="15"/>
      <c r="M1245" s="15"/>
      <c r="N1245" s="15"/>
      <c r="O1245" s="15"/>
      <c r="P1245" s="15"/>
      <c r="Q1245" s="15"/>
      <c r="R1245" s="15"/>
      <c r="S1245" s="15"/>
    </row>
    <row r="1246" spans="1:19" s="50" customFormat="1" ht="51" customHeight="1" x14ac:dyDescent="0.25">
      <c r="A1246" s="93"/>
      <c r="B1246" s="1" t="s">
        <v>122</v>
      </c>
      <c r="C1246" s="39" t="s">
        <v>31</v>
      </c>
      <c r="D1246" s="37" t="s">
        <v>23</v>
      </c>
      <c r="E1246" s="37" t="s">
        <v>7</v>
      </c>
      <c r="F1246" s="37" t="s">
        <v>7</v>
      </c>
      <c r="G1246" s="37" t="s">
        <v>90</v>
      </c>
      <c r="H1246" s="37" t="s">
        <v>2</v>
      </c>
      <c r="I1246" s="37" t="s">
        <v>78</v>
      </c>
      <c r="J1246" s="37" t="s">
        <v>48</v>
      </c>
      <c r="K1246" s="6">
        <f>6850.4-0.1+0.1</f>
        <v>6850.4</v>
      </c>
      <c r="L1246" s="15"/>
      <c r="M1246" s="15"/>
      <c r="N1246" s="15"/>
      <c r="O1246" s="15"/>
      <c r="P1246" s="15"/>
      <c r="Q1246" s="15"/>
      <c r="R1246" s="15"/>
      <c r="S1246" s="15"/>
    </row>
    <row r="1247" spans="1:19" s="50" customFormat="1" ht="31.2" x14ac:dyDescent="0.25">
      <c r="A1247" s="93"/>
      <c r="B1247" s="1" t="s">
        <v>123</v>
      </c>
      <c r="C1247" s="39" t="s">
        <v>31</v>
      </c>
      <c r="D1247" s="37" t="s">
        <v>23</v>
      </c>
      <c r="E1247" s="37" t="s">
        <v>7</v>
      </c>
      <c r="F1247" s="37" t="s">
        <v>7</v>
      </c>
      <c r="G1247" s="37" t="s">
        <v>90</v>
      </c>
      <c r="H1247" s="37" t="s">
        <v>2</v>
      </c>
      <c r="I1247" s="37" t="s">
        <v>78</v>
      </c>
      <c r="J1247" s="37" t="s">
        <v>49</v>
      </c>
      <c r="K1247" s="6">
        <f>7171.6-6851.2</f>
        <v>320.40000000000055</v>
      </c>
      <c r="L1247" s="15"/>
      <c r="M1247" s="15"/>
      <c r="N1247" s="15"/>
      <c r="O1247" s="15"/>
      <c r="P1247" s="15"/>
      <c r="Q1247" s="15"/>
      <c r="R1247" s="15"/>
      <c r="S1247" s="15"/>
    </row>
    <row r="1248" spans="1:19" s="50" customFormat="1" x14ac:dyDescent="0.25">
      <c r="A1248" s="93"/>
      <c r="B1248" s="1" t="s">
        <v>50</v>
      </c>
      <c r="C1248" s="39" t="s">
        <v>31</v>
      </c>
      <c r="D1248" s="37" t="s">
        <v>23</v>
      </c>
      <c r="E1248" s="37" t="s">
        <v>7</v>
      </c>
      <c r="F1248" s="37" t="s">
        <v>7</v>
      </c>
      <c r="G1248" s="37" t="s">
        <v>90</v>
      </c>
      <c r="H1248" s="37" t="s">
        <v>2</v>
      </c>
      <c r="I1248" s="37" t="s">
        <v>78</v>
      </c>
      <c r="J1248" s="37" t="s">
        <v>51</v>
      </c>
      <c r="K1248" s="6">
        <f>0.8+0.1</f>
        <v>0.9</v>
      </c>
      <c r="L1248" s="15"/>
      <c r="M1248" s="15"/>
      <c r="N1248" s="15"/>
      <c r="O1248" s="15"/>
      <c r="P1248" s="15"/>
      <c r="Q1248" s="15"/>
      <c r="R1248" s="15"/>
      <c r="S1248" s="15"/>
    </row>
    <row r="1249" spans="1:19" s="50" customFormat="1" x14ac:dyDescent="0.25">
      <c r="A1249" s="93"/>
      <c r="B1249" s="1" t="s">
        <v>234</v>
      </c>
      <c r="C1249" s="2">
        <v>929</v>
      </c>
      <c r="D1249" s="37" t="s">
        <v>23</v>
      </c>
      <c r="E1249" s="37" t="s">
        <v>7</v>
      </c>
      <c r="F1249" s="37" t="s">
        <v>7</v>
      </c>
      <c r="G1249" s="38">
        <v>1</v>
      </c>
      <c r="H1249" s="37" t="s">
        <v>2</v>
      </c>
      <c r="I1249" s="37" t="s">
        <v>233</v>
      </c>
      <c r="J1249" s="37"/>
      <c r="K1249" s="6">
        <f>SUM(K1250)</f>
        <v>20.100000000000001</v>
      </c>
      <c r="L1249" s="15"/>
      <c r="M1249" s="15"/>
      <c r="N1249" s="15"/>
      <c r="O1249" s="15"/>
      <c r="P1249" s="15"/>
      <c r="Q1249" s="15"/>
      <c r="R1249" s="15"/>
      <c r="S1249" s="15"/>
    </row>
    <row r="1250" spans="1:19" s="50" customFormat="1" ht="31.2" x14ac:dyDescent="0.25">
      <c r="A1250" s="93"/>
      <c r="B1250" s="1" t="s">
        <v>123</v>
      </c>
      <c r="C1250" s="2">
        <v>929</v>
      </c>
      <c r="D1250" s="37" t="s">
        <v>23</v>
      </c>
      <c r="E1250" s="37" t="s">
        <v>7</v>
      </c>
      <c r="F1250" s="37" t="s">
        <v>7</v>
      </c>
      <c r="G1250" s="38">
        <v>1</v>
      </c>
      <c r="H1250" s="37" t="s">
        <v>2</v>
      </c>
      <c r="I1250" s="37" t="s">
        <v>233</v>
      </c>
      <c r="J1250" s="37" t="s">
        <v>49</v>
      </c>
      <c r="K1250" s="6">
        <v>20.100000000000001</v>
      </c>
      <c r="L1250" s="15"/>
      <c r="M1250" s="15"/>
      <c r="N1250" s="15"/>
      <c r="O1250" s="15"/>
      <c r="P1250" s="15"/>
      <c r="Q1250" s="15"/>
      <c r="R1250" s="15"/>
      <c r="S1250" s="15"/>
    </row>
    <row r="1251" spans="1:19" s="50" customFormat="1" ht="31.2" x14ac:dyDescent="0.25">
      <c r="A1251" s="93"/>
      <c r="B1251" s="1" t="s">
        <v>226</v>
      </c>
      <c r="C1251" s="39" t="s">
        <v>31</v>
      </c>
      <c r="D1251" s="37" t="s">
        <v>23</v>
      </c>
      <c r="E1251" s="37" t="s">
        <v>7</v>
      </c>
      <c r="F1251" s="37" t="s">
        <v>70</v>
      </c>
      <c r="G1251" s="37"/>
      <c r="H1251" s="37"/>
      <c r="I1251" s="37"/>
      <c r="J1251" s="37"/>
      <c r="K1251" s="6">
        <f>K1256+K1252</f>
        <v>1048.3</v>
      </c>
      <c r="L1251" s="15"/>
      <c r="M1251" s="15"/>
      <c r="N1251" s="15"/>
      <c r="O1251" s="15"/>
      <c r="P1251" s="15"/>
      <c r="Q1251" s="15"/>
      <c r="R1251" s="15"/>
      <c r="S1251" s="15"/>
    </row>
    <row r="1252" spans="1:19" s="50" customFormat="1" ht="46.8" x14ac:dyDescent="0.25">
      <c r="A1252" s="93"/>
      <c r="B1252" s="1" t="s">
        <v>523</v>
      </c>
      <c r="C1252" s="39" t="s">
        <v>31</v>
      </c>
      <c r="D1252" s="37" t="s">
        <v>23</v>
      </c>
      <c r="E1252" s="37" t="s">
        <v>7</v>
      </c>
      <c r="F1252" s="37" t="s">
        <v>70</v>
      </c>
      <c r="G1252" s="37" t="s">
        <v>90</v>
      </c>
      <c r="H1252" s="37"/>
      <c r="I1252" s="37"/>
      <c r="J1252" s="37"/>
      <c r="K1252" s="6">
        <f>SUM(K1253)</f>
        <v>291.7</v>
      </c>
      <c r="L1252" s="15"/>
      <c r="M1252" s="15"/>
      <c r="N1252" s="15"/>
      <c r="O1252" s="15"/>
      <c r="P1252" s="15"/>
      <c r="Q1252" s="15"/>
      <c r="R1252" s="15"/>
      <c r="S1252" s="15"/>
    </row>
    <row r="1253" spans="1:19" s="50" customFormat="1" ht="46.8" x14ac:dyDescent="0.25">
      <c r="A1253" s="93"/>
      <c r="B1253" s="1" t="s">
        <v>524</v>
      </c>
      <c r="C1253" s="39" t="s">
        <v>31</v>
      </c>
      <c r="D1253" s="37" t="s">
        <v>23</v>
      </c>
      <c r="E1253" s="37" t="s">
        <v>7</v>
      </c>
      <c r="F1253" s="37" t="s">
        <v>70</v>
      </c>
      <c r="G1253" s="37" t="s">
        <v>90</v>
      </c>
      <c r="H1253" s="37" t="s">
        <v>2</v>
      </c>
      <c r="I1253" s="37"/>
      <c r="J1253" s="37"/>
      <c r="K1253" s="6">
        <f>SUM(K1254)</f>
        <v>291.7</v>
      </c>
      <c r="L1253" s="15"/>
      <c r="M1253" s="15"/>
      <c r="N1253" s="15"/>
      <c r="O1253" s="15"/>
      <c r="P1253" s="15"/>
      <c r="Q1253" s="15"/>
      <c r="R1253" s="15"/>
      <c r="S1253" s="15"/>
    </row>
    <row r="1254" spans="1:19" s="50" customFormat="1" ht="46.8" x14ac:dyDescent="0.25">
      <c r="A1254" s="93"/>
      <c r="B1254" s="1" t="s">
        <v>525</v>
      </c>
      <c r="C1254" s="39" t="s">
        <v>31</v>
      </c>
      <c r="D1254" s="37" t="s">
        <v>23</v>
      </c>
      <c r="E1254" s="37" t="s">
        <v>7</v>
      </c>
      <c r="F1254" s="37" t="s">
        <v>70</v>
      </c>
      <c r="G1254" s="37" t="s">
        <v>90</v>
      </c>
      <c r="H1254" s="37" t="s">
        <v>2</v>
      </c>
      <c r="I1254" s="37" t="s">
        <v>284</v>
      </c>
      <c r="J1254" s="37"/>
      <c r="K1254" s="6">
        <f>SUM(K1255)</f>
        <v>291.7</v>
      </c>
      <c r="L1254" s="15"/>
      <c r="M1254" s="15"/>
      <c r="N1254" s="15"/>
      <c r="O1254" s="15"/>
      <c r="P1254" s="15"/>
      <c r="Q1254" s="15"/>
      <c r="R1254" s="15"/>
      <c r="S1254" s="15"/>
    </row>
    <row r="1255" spans="1:19" s="50" customFormat="1" ht="31.2" x14ac:dyDescent="0.25">
      <c r="A1255" s="93"/>
      <c r="B1255" s="1" t="s">
        <v>123</v>
      </c>
      <c r="C1255" s="39" t="s">
        <v>31</v>
      </c>
      <c r="D1255" s="37" t="s">
        <v>23</v>
      </c>
      <c r="E1255" s="37" t="s">
        <v>7</v>
      </c>
      <c r="F1255" s="37" t="s">
        <v>70</v>
      </c>
      <c r="G1255" s="37" t="s">
        <v>90</v>
      </c>
      <c r="H1255" s="37" t="s">
        <v>2</v>
      </c>
      <c r="I1255" s="37" t="s">
        <v>284</v>
      </c>
      <c r="J1255" s="37" t="s">
        <v>49</v>
      </c>
      <c r="K1255" s="6">
        <v>291.7</v>
      </c>
      <c r="L1255" s="15"/>
      <c r="M1255" s="15"/>
      <c r="N1255" s="15"/>
      <c r="O1255" s="15"/>
      <c r="P1255" s="15"/>
      <c r="Q1255" s="15"/>
      <c r="R1255" s="15"/>
      <c r="S1255" s="15"/>
    </row>
    <row r="1256" spans="1:19" s="50" customFormat="1" ht="31.2" x14ac:dyDescent="0.25">
      <c r="A1256" s="93"/>
      <c r="B1256" s="1" t="s">
        <v>339</v>
      </c>
      <c r="C1256" s="39" t="s">
        <v>31</v>
      </c>
      <c r="D1256" s="37" t="s">
        <v>23</v>
      </c>
      <c r="E1256" s="37" t="s">
        <v>7</v>
      </c>
      <c r="F1256" s="37" t="s">
        <v>70</v>
      </c>
      <c r="G1256" s="37" t="s">
        <v>117</v>
      </c>
      <c r="H1256" s="37"/>
      <c r="I1256" s="37"/>
      <c r="J1256" s="37"/>
      <c r="K1256" s="6">
        <f>K1257</f>
        <v>756.59999999999991</v>
      </c>
      <c r="L1256" s="15"/>
      <c r="M1256" s="15"/>
      <c r="N1256" s="15"/>
      <c r="O1256" s="15"/>
      <c r="P1256" s="15"/>
      <c r="Q1256" s="15"/>
      <c r="R1256" s="15"/>
      <c r="S1256" s="15"/>
    </row>
    <row r="1257" spans="1:19" s="50" customFormat="1" ht="78.75" customHeight="1" x14ac:dyDescent="0.25">
      <c r="A1257" s="93"/>
      <c r="B1257" s="59" t="s">
        <v>518</v>
      </c>
      <c r="C1257" s="39" t="s">
        <v>31</v>
      </c>
      <c r="D1257" s="37" t="s">
        <v>23</v>
      </c>
      <c r="E1257" s="37" t="s">
        <v>7</v>
      </c>
      <c r="F1257" s="37" t="s">
        <v>70</v>
      </c>
      <c r="G1257" s="37" t="s">
        <v>117</v>
      </c>
      <c r="H1257" s="37" t="s">
        <v>2</v>
      </c>
      <c r="I1257" s="37"/>
      <c r="J1257" s="37"/>
      <c r="K1257" s="6">
        <f>K1258</f>
        <v>756.59999999999991</v>
      </c>
      <c r="L1257" s="15"/>
      <c r="M1257" s="15"/>
      <c r="N1257" s="15"/>
      <c r="O1257" s="15"/>
      <c r="P1257" s="15"/>
      <c r="Q1257" s="15"/>
      <c r="R1257" s="15"/>
      <c r="S1257" s="15"/>
    </row>
    <row r="1258" spans="1:19" s="50" customFormat="1" ht="63.75" customHeight="1" x14ac:dyDescent="0.25">
      <c r="A1258" s="93"/>
      <c r="B1258" s="1" t="s">
        <v>340</v>
      </c>
      <c r="C1258" s="39" t="s">
        <v>31</v>
      </c>
      <c r="D1258" s="37" t="s">
        <v>23</v>
      </c>
      <c r="E1258" s="37" t="s">
        <v>7</v>
      </c>
      <c r="F1258" s="37" t="s">
        <v>70</v>
      </c>
      <c r="G1258" s="37" t="s">
        <v>117</v>
      </c>
      <c r="H1258" s="37" t="s">
        <v>2</v>
      </c>
      <c r="I1258" s="37" t="s">
        <v>156</v>
      </c>
      <c r="J1258" s="37"/>
      <c r="K1258" s="6">
        <f>K1259+K1260</f>
        <v>756.59999999999991</v>
      </c>
      <c r="L1258" s="15"/>
      <c r="M1258" s="15"/>
      <c r="N1258" s="15"/>
      <c r="O1258" s="15"/>
      <c r="P1258" s="15"/>
      <c r="Q1258" s="15"/>
      <c r="R1258" s="15"/>
      <c r="S1258" s="15"/>
    </row>
    <row r="1259" spans="1:19" s="50" customFormat="1" ht="31.2" x14ac:dyDescent="0.25">
      <c r="A1259" s="93"/>
      <c r="B1259" s="1" t="s">
        <v>123</v>
      </c>
      <c r="C1259" s="39" t="s">
        <v>31</v>
      </c>
      <c r="D1259" s="37" t="s">
        <v>23</v>
      </c>
      <c r="E1259" s="37" t="s">
        <v>7</v>
      </c>
      <c r="F1259" s="37" t="s">
        <v>70</v>
      </c>
      <c r="G1259" s="37" t="s">
        <v>117</v>
      </c>
      <c r="H1259" s="37" t="s">
        <v>2</v>
      </c>
      <c r="I1259" s="37" t="s">
        <v>156</v>
      </c>
      <c r="J1259" s="37" t="s">
        <v>49</v>
      </c>
      <c r="K1259" s="6">
        <f>756.6-156.3</f>
        <v>600.29999999999995</v>
      </c>
      <c r="L1259" s="15"/>
      <c r="M1259" s="15"/>
      <c r="N1259" s="15"/>
      <c r="O1259" s="15"/>
      <c r="P1259" s="15"/>
      <c r="Q1259" s="15"/>
      <c r="R1259" s="15"/>
      <c r="S1259" s="15"/>
    </row>
    <row r="1260" spans="1:19" s="50" customFormat="1" x14ac:dyDescent="0.25">
      <c r="A1260" s="93"/>
      <c r="B1260" s="1" t="s">
        <v>55</v>
      </c>
      <c r="C1260" s="39" t="s">
        <v>31</v>
      </c>
      <c r="D1260" s="37" t="s">
        <v>23</v>
      </c>
      <c r="E1260" s="37" t="s">
        <v>7</v>
      </c>
      <c r="F1260" s="37" t="s">
        <v>70</v>
      </c>
      <c r="G1260" s="37" t="s">
        <v>117</v>
      </c>
      <c r="H1260" s="37" t="s">
        <v>2</v>
      </c>
      <c r="I1260" s="37" t="s">
        <v>156</v>
      </c>
      <c r="J1260" s="37" t="s">
        <v>56</v>
      </c>
      <c r="K1260" s="6">
        <v>156.30000000000001</v>
      </c>
      <c r="L1260" s="15"/>
      <c r="M1260" s="15"/>
      <c r="N1260" s="15"/>
      <c r="O1260" s="15"/>
      <c r="P1260" s="15"/>
      <c r="Q1260" s="15"/>
      <c r="R1260" s="15"/>
      <c r="S1260" s="15"/>
    </row>
    <row r="1261" spans="1:19" s="50" customFormat="1" ht="31.2" x14ac:dyDescent="0.25">
      <c r="A1261" s="94" t="s">
        <v>70</v>
      </c>
      <c r="B1261" s="60" t="s">
        <v>400</v>
      </c>
      <c r="C1261" s="39">
        <v>934</v>
      </c>
      <c r="D1261" s="37"/>
      <c r="E1261" s="37"/>
      <c r="F1261" s="37"/>
      <c r="G1261" s="37"/>
      <c r="H1261" s="37"/>
      <c r="I1261" s="37"/>
      <c r="J1261" s="37"/>
      <c r="K1261" s="6">
        <f>K1262+K1268+K1275</f>
        <v>51685.80000000001</v>
      </c>
      <c r="L1261" s="15"/>
      <c r="M1261" s="15"/>
      <c r="N1261" s="15"/>
      <c r="O1261" s="15"/>
      <c r="P1261" s="15"/>
      <c r="Q1261" s="15"/>
      <c r="R1261" s="15"/>
      <c r="S1261" s="15"/>
    </row>
    <row r="1262" spans="1:19" s="50" customFormat="1" x14ac:dyDescent="0.25">
      <c r="A1262" s="94"/>
      <c r="B1262" s="1" t="s">
        <v>1</v>
      </c>
      <c r="C1262" s="39">
        <v>934</v>
      </c>
      <c r="D1262" s="37" t="s">
        <v>2</v>
      </c>
      <c r="E1262" s="37"/>
      <c r="F1262" s="37"/>
      <c r="G1262" s="37"/>
      <c r="H1262" s="37"/>
      <c r="I1262" s="37"/>
      <c r="J1262" s="37"/>
      <c r="K1262" s="6">
        <f>SUM(K1263)</f>
        <v>0</v>
      </c>
      <c r="L1262" s="15"/>
      <c r="M1262" s="15"/>
      <c r="N1262" s="15"/>
      <c r="O1262" s="15"/>
      <c r="P1262" s="15"/>
      <c r="Q1262" s="15"/>
      <c r="R1262" s="15"/>
      <c r="S1262" s="15"/>
    </row>
    <row r="1263" spans="1:19" s="50" customFormat="1" x14ac:dyDescent="0.25">
      <c r="A1263" s="94"/>
      <c r="B1263" s="1" t="s">
        <v>9</v>
      </c>
      <c r="C1263" s="39">
        <v>934</v>
      </c>
      <c r="D1263" s="37" t="s">
        <v>2</v>
      </c>
      <c r="E1263" s="37" t="s">
        <v>40</v>
      </c>
      <c r="F1263" s="39"/>
      <c r="G1263" s="37"/>
      <c r="H1263" s="37"/>
      <c r="I1263" s="37"/>
      <c r="J1263" s="37"/>
      <c r="K1263" s="6">
        <f>K1264</f>
        <v>0</v>
      </c>
      <c r="L1263" s="15"/>
      <c r="M1263" s="15"/>
      <c r="N1263" s="15"/>
      <c r="O1263" s="15"/>
      <c r="P1263" s="15"/>
      <c r="Q1263" s="15"/>
      <c r="R1263" s="15"/>
      <c r="S1263" s="15"/>
    </row>
    <row r="1264" spans="1:19" s="50" customFormat="1" ht="31.2" x14ac:dyDescent="0.25">
      <c r="A1264" s="94"/>
      <c r="B1264" s="1" t="s">
        <v>348</v>
      </c>
      <c r="C1264" s="39">
        <v>934</v>
      </c>
      <c r="D1264" s="37" t="s">
        <v>2</v>
      </c>
      <c r="E1264" s="37" t="s">
        <v>40</v>
      </c>
      <c r="F1264" s="37" t="s">
        <v>128</v>
      </c>
      <c r="G1264" s="37"/>
      <c r="H1264" s="37"/>
      <c r="I1264" s="37"/>
      <c r="J1264" s="37"/>
      <c r="K1264" s="6">
        <f>K1265</f>
        <v>0</v>
      </c>
      <c r="L1264" s="15"/>
      <c r="M1264" s="15"/>
      <c r="N1264" s="15"/>
      <c r="O1264" s="15"/>
      <c r="P1264" s="15"/>
      <c r="Q1264" s="15"/>
      <c r="R1264" s="15"/>
      <c r="S1264" s="15"/>
    </row>
    <row r="1265" spans="1:19" s="50" customFormat="1" ht="31.2" x14ac:dyDescent="0.25">
      <c r="A1265" s="94"/>
      <c r="B1265" s="1" t="s">
        <v>174</v>
      </c>
      <c r="C1265" s="39">
        <v>934</v>
      </c>
      <c r="D1265" s="37" t="s">
        <v>2</v>
      </c>
      <c r="E1265" s="37" t="s">
        <v>40</v>
      </c>
      <c r="F1265" s="37" t="s">
        <v>128</v>
      </c>
      <c r="G1265" s="37" t="s">
        <v>90</v>
      </c>
      <c r="H1265" s="37" t="s">
        <v>6</v>
      </c>
      <c r="I1265" s="37"/>
      <c r="J1265" s="37"/>
      <c r="K1265" s="6">
        <f>K1266</f>
        <v>0</v>
      </c>
      <c r="L1265" s="15"/>
      <c r="M1265" s="15"/>
      <c r="N1265" s="15"/>
      <c r="O1265" s="15"/>
      <c r="P1265" s="15"/>
      <c r="Q1265" s="15"/>
      <c r="R1265" s="15"/>
      <c r="S1265" s="15"/>
    </row>
    <row r="1266" spans="1:19" s="50" customFormat="1" ht="31.2" x14ac:dyDescent="0.25">
      <c r="A1266" s="94"/>
      <c r="B1266" s="1" t="s">
        <v>175</v>
      </c>
      <c r="C1266" s="39">
        <v>934</v>
      </c>
      <c r="D1266" s="37" t="s">
        <v>2</v>
      </c>
      <c r="E1266" s="37" t="s">
        <v>40</v>
      </c>
      <c r="F1266" s="37" t="s">
        <v>128</v>
      </c>
      <c r="G1266" s="37" t="s">
        <v>90</v>
      </c>
      <c r="H1266" s="37" t="s">
        <v>6</v>
      </c>
      <c r="I1266" s="37" t="s">
        <v>173</v>
      </c>
      <c r="J1266" s="37"/>
      <c r="K1266" s="6">
        <f>K1267</f>
        <v>0</v>
      </c>
      <c r="L1266" s="15"/>
      <c r="M1266" s="15"/>
      <c r="N1266" s="15"/>
      <c r="O1266" s="15"/>
      <c r="P1266" s="15"/>
      <c r="Q1266" s="15"/>
      <c r="R1266" s="15"/>
      <c r="S1266" s="15"/>
    </row>
    <row r="1267" spans="1:19" s="50" customFormat="1" ht="31.2" x14ac:dyDescent="0.25">
      <c r="A1267" s="94"/>
      <c r="B1267" s="1" t="s">
        <v>123</v>
      </c>
      <c r="C1267" s="39">
        <v>934</v>
      </c>
      <c r="D1267" s="37" t="s">
        <v>2</v>
      </c>
      <c r="E1267" s="37" t="s">
        <v>40</v>
      </c>
      <c r="F1267" s="37" t="s">
        <v>128</v>
      </c>
      <c r="G1267" s="37" t="s">
        <v>90</v>
      </c>
      <c r="H1267" s="37" t="s">
        <v>6</v>
      </c>
      <c r="I1267" s="37" t="s">
        <v>173</v>
      </c>
      <c r="J1267" s="37" t="s">
        <v>49</v>
      </c>
      <c r="K1267" s="6"/>
      <c r="L1267" s="15"/>
      <c r="M1267" s="15"/>
      <c r="N1267" s="15"/>
      <c r="O1267" s="15"/>
      <c r="P1267" s="15"/>
      <c r="Q1267" s="15"/>
      <c r="R1267" s="15"/>
      <c r="S1267" s="15"/>
    </row>
    <row r="1268" spans="1:19" s="50" customFormat="1" x14ac:dyDescent="0.25">
      <c r="A1268" s="94"/>
      <c r="B1268" s="1" t="s">
        <v>14</v>
      </c>
      <c r="C1268" s="39" t="s">
        <v>73</v>
      </c>
      <c r="D1268" s="37" t="s">
        <v>5</v>
      </c>
      <c r="E1268" s="37"/>
      <c r="F1268" s="37"/>
      <c r="G1268" s="37"/>
      <c r="H1268" s="37"/>
      <c r="I1268" s="37"/>
      <c r="J1268" s="37"/>
      <c r="K1268" s="6">
        <f t="shared" ref="K1268:K1269" si="52">SUM(K1269)</f>
        <v>470.5</v>
      </c>
      <c r="L1268" s="15"/>
      <c r="M1268" s="15"/>
      <c r="N1268" s="15"/>
      <c r="O1268" s="15"/>
      <c r="P1268" s="15"/>
      <c r="Q1268" s="15"/>
      <c r="R1268" s="15"/>
      <c r="S1268" s="15"/>
    </row>
    <row r="1269" spans="1:19" s="50" customFormat="1" ht="31.2" x14ac:dyDescent="0.25">
      <c r="A1269" s="94"/>
      <c r="B1269" s="1" t="s">
        <v>130</v>
      </c>
      <c r="C1269" s="39" t="s">
        <v>73</v>
      </c>
      <c r="D1269" s="37" t="s">
        <v>5</v>
      </c>
      <c r="E1269" s="37" t="s">
        <v>10</v>
      </c>
      <c r="F1269" s="37"/>
      <c r="G1269" s="37"/>
      <c r="H1269" s="37"/>
      <c r="I1269" s="37"/>
      <c r="J1269" s="37"/>
      <c r="K1269" s="6">
        <f t="shared" si="52"/>
        <v>470.5</v>
      </c>
      <c r="L1269" s="15"/>
      <c r="M1269" s="15"/>
      <c r="N1269" s="15"/>
      <c r="O1269" s="15"/>
      <c r="P1269" s="15"/>
      <c r="Q1269" s="15"/>
      <c r="R1269" s="15"/>
      <c r="S1269" s="15"/>
    </row>
    <row r="1270" spans="1:19" s="50" customFormat="1" x14ac:dyDescent="0.25">
      <c r="A1270" s="94"/>
      <c r="B1270" s="40" t="s">
        <v>344</v>
      </c>
      <c r="C1270" s="2">
        <v>934</v>
      </c>
      <c r="D1270" s="37" t="s">
        <v>5</v>
      </c>
      <c r="E1270" s="37" t="s">
        <v>10</v>
      </c>
      <c r="F1270" s="37" t="s">
        <v>83</v>
      </c>
      <c r="G1270" s="37"/>
      <c r="H1270" s="37"/>
      <c r="I1270" s="37"/>
      <c r="J1270" s="39"/>
      <c r="K1270" s="6">
        <f>SUM(K1271)</f>
        <v>470.5</v>
      </c>
      <c r="L1270" s="15"/>
      <c r="M1270" s="15"/>
      <c r="N1270" s="15"/>
      <c r="O1270" s="15"/>
      <c r="P1270" s="15"/>
      <c r="Q1270" s="15"/>
      <c r="R1270" s="15"/>
      <c r="S1270" s="15"/>
    </row>
    <row r="1271" spans="1:19" s="50" customFormat="1" ht="46.8" x14ac:dyDescent="0.25">
      <c r="A1271" s="94"/>
      <c r="B1271" s="40" t="s">
        <v>353</v>
      </c>
      <c r="C1271" s="2">
        <v>934</v>
      </c>
      <c r="D1271" s="37" t="s">
        <v>5</v>
      </c>
      <c r="E1271" s="37" t="s">
        <v>10</v>
      </c>
      <c r="F1271" s="37" t="s">
        <v>83</v>
      </c>
      <c r="G1271" s="37" t="s">
        <v>117</v>
      </c>
      <c r="H1271" s="37"/>
      <c r="I1271" s="37"/>
      <c r="J1271" s="39"/>
      <c r="K1271" s="6">
        <f t="shared" ref="K1271:K1273" si="53">SUM(K1272)</f>
        <v>470.5</v>
      </c>
      <c r="L1271" s="15"/>
      <c r="M1271" s="15"/>
      <c r="N1271" s="15"/>
      <c r="O1271" s="15"/>
      <c r="P1271" s="15"/>
      <c r="Q1271" s="15"/>
      <c r="R1271" s="15"/>
      <c r="S1271" s="15"/>
    </row>
    <row r="1272" spans="1:19" s="50" customFormat="1" ht="46.8" x14ac:dyDescent="0.25">
      <c r="A1272" s="94"/>
      <c r="B1272" s="40" t="s">
        <v>131</v>
      </c>
      <c r="C1272" s="2">
        <v>934</v>
      </c>
      <c r="D1272" s="37" t="s">
        <v>5</v>
      </c>
      <c r="E1272" s="37" t="s">
        <v>10</v>
      </c>
      <c r="F1272" s="37" t="s">
        <v>83</v>
      </c>
      <c r="G1272" s="37" t="s">
        <v>117</v>
      </c>
      <c r="H1272" s="37" t="s">
        <v>2</v>
      </c>
      <c r="I1272" s="37"/>
      <c r="J1272" s="39"/>
      <c r="K1272" s="6">
        <f t="shared" si="53"/>
        <v>470.5</v>
      </c>
      <c r="L1272" s="15"/>
      <c r="M1272" s="15"/>
      <c r="N1272" s="15"/>
      <c r="O1272" s="15"/>
      <c r="P1272" s="15"/>
      <c r="Q1272" s="15"/>
      <c r="R1272" s="15"/>
      <c r="S1272" s="15"/>
    </row>
    <row r="1273" spans="1:19" s="50" customFormat="1" ht="31.2" x14ac:dyDescent="0.25">
      <c r="A1273" s="94"/>
      <c r="B1273" s="40" t="s">
        <v>132</v>
      </c>
      <c r="C1273" s="2">
        <v>934</v>
      </c>
      <c r="D1273" s="37" t="s">
        <v>5</v>
      </c>
      <c r="E1273" s="37" t="s">
        <v>10</v>
      </c>
      <c r="F1273" s="37" t="s">
        <v>83</v>
      </c>
      <c r="G1273" s="37" t="s">
        <v>117</v>
      </c>
      <c r="H1273" s="37" t="s">
        <v>2</v>
      </c>
      <c r="I1273" s="37" t="s">
        <v>135</v>
      </c>
      <c r="J1273" s="39"/>
      <c r="K1273" s="6">
        <f t="shared" si="53"/>
        <v>470.5</v>
      </c>
      <c r="L1273" s="15"/>
      <c r="M1273" s="15"/>
      <c r="N1273" s="15"/>
      <c r="O1273" s="15"/>
      <c r="P1273" s="15"/>
      <c r="Q1273" s="15"/>
      <c r="R1273" s="15"/>
      <c r="S1273" s="15"/>
    </row>
    <row r="1274" spans="1:19" s="50" customFormat="1" ht="31.2" x14ac:dyDescent="0.25">
      <c r="A1274" s="94"/>
      <c r="B1274" s="1" t="s">
        <v>123</v>
      </c>
      <c r="C1274" s="2">
        <v>934</v>
      </c>
      <c r="D1274" s="37" t="s">
        <v>5</v>
      </c>
      <c r="E1274" s="37" t="s">
        <v>10</v>
      </c>
      <c r="F1274" s="37" t="s">
        <v>83</v>
      </c>
      <c r="G1274" s="37" t="s">
        <v>117</v>
      </c>
      <c r="H1274" s="37" t="s">
        <v>2</v>
      </c>
      <c r="I1274" s="37" t="s">
        <v>135</v>
      </c>
      <c r="J1274" s="39" t="s">
        <v>49</v>
      </c>
      <c r="K1274" s="6">
        <f>100.4+71.5+298.6</f>
        <v>470.5</v>
      </c>
      <c r="L1274" s="15"/>
      <c r="M1274" s="15"/>
      <c r="N1274" s="15"/>
      <c r="O1274" s="15"/>
      <c r="P1274" s="15"/>
      <c r="Q1274" s="15"/>
      <c r="R1274" s="15"/>
      <c r="S1274" s="15"/>
    </row>
    <row r="1275" spans="1:19" s="50" customFormat="1" x14ac:dyDescent="0.25">
      <c r="A1275" s="94"/>
      <c r="B1275" s="60" t="s">
        <v>18</v>
      </c>
      <c r="C1275" s="39">
        <v>934</v>
      </c>
      <c r="D1275" s="37" t="s">
        <v>8</v>
      </c>
      <c r="E1275" s="37"/>
      <c r="F1275" s="37"/>
      <c r="G1275" s="37"/>
      <c r="H1275" s="37"/>
      <c r="I1275" s="37"/>
      <c r="J1275" s="37"/>
      <c r="K1275" s="6">
        <f>K1282+K1307+K1276</f>
        <v>51215.30000000001</v>
      </c>
      <c r="L1275" s="15"/>
      <c r="M1275" s="15"/>
      <c r="N1275" s="15"/>
      <c r="O1275" s="15"/>
      <c r="P1275" s="15"/>
      <c r="Q1275" s="15"/>
      <c r="R1275" s="15"/>
      <c r="S1275" s="15"/>
    </row>
    <row r="1276" spans="1:19" s="50" customFormat="1" ht="18.75" customHeight="1" x14ac:dyDescent="0.25">
      <c r="A1276" s="94"/>
      <c r="B1276" s="1" t="s">
        <v>235</v>
      </c>
      <c r="C1276" s="2">
        <v>934</v>
      </c>
      <c r="D1276" s="37" t="s">
        <v>8</v>
      </c>
      <c r="E1276" s="37" t="s">
        <v>7</v>
      </c>
      <c r="F1276" s="37"/>
      <c r="G1276" s="37"/>
      <c r="H1276" s="37"/>
      <c r="I1276" s="37"/>
      <c r="J1276" s="39"/>
      <c r="K1276" s="6">
        <f t="shared" ref="K1276:K1279" si="54">SUM(K1277)</f>
        <v>8</v>
      </c>
      <c r="L1276" s="15"/>
      <c r="M1276" s="15"/>
      <c r="N1276" s="15"/>
      <c r="O1276" s="15"/>
      <c r="P1276" s="15"/>
      <c r="Q1276" s="15"/>
      <c r="R1276" s="15"/>
      <c r="S1276" s="15"/>
    </row>
    <row r="1277" spans="1:19" s="50" customFormat="1" x14ac:dyDescent="0.25">
      <c r="A1277" s="94"/>
      <c r="B1277" s="1" t="s">
        <v>401</v>
      </c>
      <c r="C1277" s="2">
        <v>934</v>
      </c>
      <c r="D1277" s="37" t="s">
        <v>8</v>
      </c>
      <c r="E1277" s="37" t="s">
        <v>7</v>
      </c>
      <c r="F1277" s="37" t="s">
        <v>17</v>
      </c>
      <c r="G1277" s="37"/>
      <c r="H1277" s="37"/>
      <c r="I1277" s="37"/>
      <c r="J1277" s="39"/>
      <c r="K1277" s="6">
        <f t="shared" si="54"/>
        <v>8</v>
      </c>
      <c r="L1277" s="15"/>
      <c r="M1277" s="15"/>
      <c r="N1277" s="15"/>
      <c r="O1277" s="15"/>
      <c r="P1277" s="15"/>
      <c r="Q1277" s="15"/>
      <c r="R1277" s="15"/>
      <c r="S1277" s="15"/>
    </row>
    <row r="1278" spans="1:19" s="50" customFormat="1" x14ac:dyDescent="0.25">
      <c r="A1278" s="94"/>
      <c r="B1278" s="1" t="s">
        <v>402</v>
      </c>
      <c r="C1278" s="2">
        <v>934</v>
      </c>
      <c r="D1278" s="37" t="s">
        <v>8</v>
      </c>
      <c r="E1278" s="37" t="s">
        <v>7</v>
      </c>
      <c r="F1278" s="37" t="s">
        <v>17</v>
      </c>
      <c r="G1278" s="37" t="s">
        <v>90</v>
      </c>
      <c r="H1278" s="37"/>
      <c r="I1278" s="37"/>
      <c r="J1278" s="39"/>
      <c r="K1278" s="6">
        <f t="shared" si="54"/>
        <v>8</v>
      </c>
      <c r="L1278" s="15"/>
      <c r="M1278" s="15"/>
      <c r="N1278" s="15"/>
      <c r="O1278" s="15"/>
      <c r="P1278" s="15"/>
      <c r="Q1278" s="15"/>
      <c r="R1278" s="15"/>
      <c r="S1278" s="15"/>
    </row>
    <row r="1279" spans="1:19" s="50" customFormat="1" ht="46.8" x14ac:dyDescent="0.25">
      <c r="A1279" s="94"/>
      <c r="B1279" s="1" t="s">
        <v>403</v>
      </c>
      <c r="C1279" s="2">
        <v>934</v>
      </c>
      <c r="D1279" s="37" t="s">
        <v>8</v>
      </c>
      <c r="E1279" s="37" t="s">
        <v>7</v>
      </c>
      <c r="F1279" s="37" t="s">
        <v>17</v>
      </c>
      <c r="G1279" s="37" t="s">
        <v>90</v>
      </c>
      <c r="H1279" s="37" t="s">
        <v>2</v>
      </c>
      <c r="I1279" s="37"/>
      <c r="J1279" s="39"/>
      <c r="K1279" s="6">
        <f t="shared" si="54"/>
        <v>8</v>
      </c>
      <c r="L1279" s="15"/>
      <c r="M1279" s="15"/>
      <c r="N1279" s="15"/>
      <c r="O1279" s="15"/>
      <c r="P1279" s="15"/>
      <c r="Q1279" s="15"/>
      <c r="R1279" s="15"/>
      <c r="S1279" s="15"/>
    </row>
    <row r="1280" spans="1:19" s="50" customFormat="1" x14ac:dyDescent="0.25">
      <c r="A1280" s="94"/>
      <c r="B1280" s="1" t="s">
        <v>237</v>
      </c>
      <c r="C1280" s="2">
        <v>934</v>
      </c>
      <c r="D1280" s="37" t="s">
        <v>8</v>
      </c>
      <c r="E1280" s="37" t="s">
        <v>7</v>
      </c>
      <c r="F1280" s="37" t="s">
        <v>17</v>
      </c>
      <c r="G1280" s="37" t="s">
        <v>90</v>
      </c>
      <c r="H1280" s="37" t="s">
        <v>2</v>
      </c>
      <c r="I1280" s="37" t="s">
        <v>236</v>
      </c>
      <c r="J1280" s="39"/>
      <c r="K1280" s="6">
        <f>SUM(K1281)</f>
        <v>8</v>
      </c>
      <c r="L1280" s="15"/>
      <c r="M1280" s="15"/>
      <c r="N1280" s="15"/>
      <c r="O1280" s="15"/>
      <c r="P1280" s="15"/>
      <c r="Q1280" s="15"/>
      <c r="R1280" s="15"/>
      <c r="S1280" s="15"/>
    </row>
    <row r="1281" spans="1:19" s="50" customFormat="1" ht="31.2" x14ac:dyDescent="0.25">
      <c r="A1281" s="94"/>
      <c r="B1281" s="1" t="s">
        <v>123</v>
      </c>
      <c r="C1281" s="2">
        <v>934</v>
      </c>
      <c r="D1281" s="37" t="s">
        <v>8</v>
      </c>
      <c r="E1281" s="37" t="s">
        <v>7</v>
      </c>
      <c r="F1281" s="37" t="s">
        <v>17</v>
      </c>
      <c r="G1281" s="37" t="s">
        <v>90</v>
      </c>
      <c r="H1281" s="37" t="s">
        <v>2</v>
      </c>
      <c r="I1281" s="37" t="s">
        <v>236</v>
      </c>
      <c r="J1281" s="39" t="s">
        <v>49</v>
      </c>
      <c r="K1281" s="6">
        <v>8</v>
      </c>
      <c r="L1281" s="15"/>
      <c r="M1281" s="15"/>
      <c r="N1281" s="15"/>
      <c r="O1281" s="15"/>
      <c r="P1281" s="15"/>
      <c r="Q1281" s="15"/>
      <c r="R1281" s="15"/>
      <c r="S1281" s="15"/>
    </row>
    <row r="1282" spans="1:19" s="50" customFormat="1" x14ac:dyDescent="0.25">
      <c r="A1282" s="94"/>
      <c r="B1282" s="60" t="s">
        <v>19</v>
      </c>
      <c r="C1282" s="39">
        <v>934</v>
      </c>
      <c r="D1282" s="37" t="s">
        <v>8</v>
      </c>
      <c r="E1282" s="37" t="s">
        <v>8</v>
      </c>
      <c r="F1282" s="37"/>
      <c r="G1282" s="37"/>
      <c r="H1282" s="37"/>
      <c r="I1282" s="37"/>
      <c r="J1282" s="37"/>
      <c r="K1282" s="6">
        <f>SUM(K1283+K1298)</f>
        <v>45569.100000000013</v>
      </c>
      <c r="L1282" s="15"/>
      <c r="M1282" s="15"/>
      <c r="N1282" s="15"/>
      <c r="O1282" s="15"/>
      <c r="P1282" s="15"/>
      <c r="Q1282" s="15"/>
      <c r="R1282" s="15"/>
      <c r="S1282" s="15"/>
    </row>
    <row r="1283" spans="1:19" s="50" customFormat="1" x14ac:dyDescent="0.25">
      <c r="A1283" s="94"/>
      <c r="B1283" s="40" t="s">
        <v>401</v>
      </c>
      <c r="C1283" s="39">
        <v>934</v>
      </c>
      <c r="D1283" s="37" t="s">
        <v>8</v>
      </c>
      <c r="E1283" s="37" t="s">
        <v>8</v>
      </c>
      <c r="F1283" s="37" t="s">
        <v>17</v>
      </c>
      <c r="G1283" s="37"/>
      <c r="H1283" s="37"/>
      <c r="I1283" s="37"/>
      <c r="J1283" s="37"/>
      <c r="K1283" s="6">
        <f t="shared" ref="K1283" si="55">SUM(K1284)</f>
        <v>42977.30000000001</v>
      </c>
      <c r="L1283" s="15"/>
      <c r="M1283" s="15"/>
      <c r="N1283" s="15"/>
      <c r="O1283" s="15"/>
      <c r="P1283" s="15"/>
      <c r="Q1283" s="15"/>
      <c r="R1283" s="15"/>
      <c r="S1283" s="15"/>
    </row>
    <row r="1284" spans="1:19" s="50" customFormat="1" x14ac:dyDescent="0.25">
      <c r="A1284" s="94"/>
      <c r="B1284" s="40" t="s">
        <v>402</v>
      </c>
      <c r="C1284" s="39">
        <v>934</v>
      </c>
      <c r="D1284" s="37" t="s">
        <v>8</v>
      </c>
      <c r="E1284" s="37" t="s">
        <v>8</v>
      </c>
      <c r="F1284" s="37" t="s">
        <v>17</v>
      </c>
      <c r="G1284" s="37" t="s">
        <v>90</v>
      </c>
      <c r="H1284" s="37"/>
      <c r="I1284" s="37"/>
      <c r="J1284" s="37"/>
      <c r="K1284" s="6">
        <f>SUM(K1285+K1292)</f>
        <v>42977.30000000001</v>
      </c>
      <c r="L1284" s="15"/>
      <c r="M1284" s="15"/>
      <c r="N1284" s="15"/>
      <c r="O1284" s="15"/>
      <c r="P1284" s="15"/>
      <c r="Q1284" s="15"/>
      <c r="R1284" s="15"/>
      <c r="S1284" s="15"/>
    </row>
    <row r="1285" spans="1:19" s="50" customFormat="1" ht="35.25" customHeight="1" x14ac:dyDescent="0.25">
      <c r="A1285" s="94"/>
      <c r="B1285" s="40" t="s">
        <v>526</v>
      </c>
      <c r="C1285" s="39">
        <v>934</v>
      </c>
      <c r="D1285" s="37" t="s">
        <v>8</v>
      </c>
      <c r="E1285" s="37" t="s">
        <v>8</v>
      </c>
      <c r="F1285" s="37" t="s">
        <v>17</v>
      </c>
      <c r="G1285" s="37" t="s">
        <v>90</v>
      </c>
      <c r="H1285" s="37" t="s">
        <v>4</v>
      </c>
      <c r="I1285" s="37"/>
      <c r="J1285" s="37"/>
      <c r="K1285" s="6">
        <f>SUM(K1286+K1290)</f>
        <v>35133.000000000007</v>
      </c>
      <c r="L1285" s="15"/>
      <c r="M1285" s="15"/>
      <c r="N1285" s="15"/>
      <c r="O1285" s="15"/>
      <c r="P1285" s="15"/>
      <c r="Q1285" s="15"/>
      <c r="R1285" s="15"/>
      <c r="S1285" s="15"/>
    </row>
    <row r="1286" spans="1:19" s="50" customFormat="1" ht="46.8" x14ac:dyDescent="0.25">
      <c r="A1286" s="94"/>
      <c r="B1286" s="1" t="s">
        <v>66</v>
      </c>
      <c r="C1286" s="39" t="s">
        <v>73</v>
      </c>
      <c r="D1286" s="37" t="s">
        <v>8</v>
      </c>
      <c r="E1286" s="37" t="s">
        <v>8</v>
      </c>
      <c r="F1286" s="37" t="s">
        <v>17</v>
      </c>
      <c r="G1286" s="37" t="s">
        <v>90</v>
      </c>
      <c r="H1286" s="37" t="s">
        <v>4</v>
      </c>
      <c r="I1286" s="37" t="s">
        <v>85</v>
      </c>
      <c r="J1286" s="37"/>
      <c r="K1286" s="6">
        <f>SUM(K1287:K1289)</f>
        <v>34633.000000000007</v>
      </c>
      <c r="L1286" s="15"/>
      <c r="M1286" s="15"/>
      <c r="N1286" s="15"/>
      <c r="O1286" s="15"/>
      <c r="P1286" s="15"/>
      <c r="Q1286" s="15"/>
      <c r="R1286" s="15"/>
      <c r="S1286" s="15"/>
    </row>
    <row r="1287" spans="1:19" s="50" customFormat="1" ht="48.75" customHeight="1" x14ac:dyDescent="0.25">
      <c r="A1287" s="94"/>
      <c r="B1287" s="1" t="s">
        <v>122</v>
      </c>
      <c r="C1287" s="39" t="s">
        <v>73</v>
      </c>
      <c r="D1287" s="37" t="s">
        <v>8</v>
      </c>
      <c r="E1287" s="37" t="s">
        <v>8</v>
      </c>
      <c r="F1287" s="37" t="s">
        <v>17</v>
      </c>
      <c r="G1287" s="37" t="s">
        <v>90</v>
      </c>
      <c r="H1287" s="37" t="s">
        <v>4</v>
      </c>
      <c r="I1287" s="37" t="s">
        <v>85</v>
      </c>
      <c r="J1287" s="37" t="s">
        <v>48</v>
      </c>
      <c r="K1287" s="6">
        <f>12864.3+4780.6+15349.7-1.5+1.5</f>
        <v>32994.600000000006</v>
      </c>
      <c r="L1287" s="15"/>
      <c r="M1287" s="15"/>
      <c r="N1287" s="15"/>
      <c r="O1287" s="15"/>
      <c r="P1287" s="15"/>
      <c r="Q1287" s="15"/>
      <c r="R1287" s="15"/>
      <c r="S1287" s="15"/>
    </row>
    <row r="1288" spans="1:19" s="50" customFormat="1" ht="31.2" x14ac:dyDescent="0.25">
      <c r="A1288" s="94"/>
      <c r="B1288" s="1" t="s">
        <v>123</v>
      </c>
      <c r="C1288" s="39" t="s">
        <v>73</v>
      </c>
      <c r="D1288" s="37" t="s">
        <v>8</v>
      </c>
      <c r="E1288" s="37" t="s">
        <v>8</v>
      </c>
      <c r="F1288" s="37" t="s">
        <v>17</v>
      </c>
      <c r="G1288" s="37" t="s">
        <v>90</v>
      </c>
      <c r="H1288" s="37" t="s">
        <v>4</v>
      </c>
      <c r="I1288" s="37" t="s">
        <v>85</v>
      </c>
      <c r="J1288" s="37" t="s">
        <v>49</v>
      </c>
      <c r="K1288" s="6">
        <f>13861.2-12868+172+339.7+8.5+18.2-0.1+30.4</f>
        <v>1561.900000000001</v>
      </c>
      <c r="L1288" s="15"/>
      <c r="M1288" s="15"/>
      <c r="N1288" s="15"/>
      <c r="O1288" s="15"/>
      <c r="P1288" s="15"/>
      <c r="Q1288" s="15"/>
      <c r="R1288" s="15"/>
      <c r="S1288" s="15"/>
    </row>
    <row r="1289" spans="1:19" s="50" customFormat="1" x14ac:dyDescent="0.25">
      <c r="A1289" s="94"/>
      <c r="B1289" s="1" t="s">
        <v>50</v>
      </c>
      <c r="C1289" s="39" t="s">
        <v>73</v>
      </c>
      <c r="D1289" s="37" t="s">
        <v>8</v>
      </c>
      <c r="E1289" s="37" t="s">
        <v>8</v>
      </c>
      <c r="F1289" s="37" t="s">
        <v>17</v>
      </c>
      <c r="G1289" s="37" t="s">
        <v>90</v>
      </c>
      <c r="H1289" s="37" t="s">
        <v>4</v>
      </c>
      <c r="I1289" s="37" t="s">
        <v>85</v>
      </c>
      <c r="J1289" s="37" t="s">
        <v>51</v>
      </c>
      <c r="K1289" s="6">
        <f>3.7+100+1.7+1.5-30.4</f>
        <v>76.5</v>
      </c>
      <c r="L1289" s="15"/>
      <c r="M1289" s="15"/>
      <c r="N1289" s="15"/>
      <c r="O1289" s="15"/>
      <c r="P1289" s="15"/>
      <c r="Q1289" s="15"/>
      <c r="R1289" s="15"/>
      <c r="S1289" s="15"/>
    </row>
    <row r="1290" spans="1:19" s="50" customFormat="1" ht="31.2" x14ac:dyDescent="0.25">
      <c r="A1290" s="94"/>
      <c r="B1290" s="1" t="s">
        <v>289</v>
      </c>
      <c r="C1290" s="39">
        <v>934</v>
      </c>
      <c r="D1290" s="37" t="s">
        <v>8</v>
      </c>
      <c r="E1290" s="37" t="s">
        <v>8</v>
      </c>
      <c r="F1290" s="37" t="s">
        <v>17</v>
      </c>
      <c r="G1290" s="37" t="s">
        <v>90</v>
      </c>
      <c r="H1290" s="37" t="s">
        <v>4</v>
      </c>
      <c r="I1290" s="37" t="s">
        <v>288</v>
      </c>
      <c r="J1290" s="37"/>
      <c r="K1290" s="6">
        <f>K1291</f>
        <v>500</v>
      </c>
      <c r="L1290" s="15"/>
      <c r="M1290" s="15"/>
      <c r="N1290" s="15"/>
      <c r="O1290" s="15"/>
      <c r="P1290" s="15"/>
      <c r="Q1290" s="15"/>
      <c r="R1290" s="15"/>
      <c r="S1290" s="15"/>
    </row>
    <row r="1291" spans="1:19" s="50" customFormat="1" ht="31.2" x14ac:dyDescent="0.25">
      <c r="A1291" s="94"/>
      <c r="B1291" s="1" t="s">
        <v>123</v>
      </c>
      <c r="C1291" s="39">
        <v>934</v>
      </c>
      <c r="D1291" s="37" t="s">
        <v>8</v>
      </c>
      <c r="E1291" s="37" t="s">
        <v>8</v>
      </c>
      <c r="F1291" s="37" t="s">
        <v>17</v>
      </c>
      <c r="G1291" s="37" t="s">
        <v>90</v>
      </c>
      <c r="H1291" s="37" t="s">
        <v>4</v>
      </c>
      <c r="I1291" s="37" t="s">
        <v>288</v>
      </c>
      <c r="J1291" s="37" t="s">
        <v>49</v>
      </c>
      <c r="K1291" s="6">
        <v>500</v>
      </c>
      <c r="L1291" s="15"/>
      <c r="M1291" s="15"/>
      <c r="N1291" s="15"/>
      <c r="O1291" s="15"/>
      <c r="P1291" s="15"/>
      <c r="Q1291" s="15"/>
      <c r="R1291" s="15"/>
      <c r="S1291" s="15"/>
    </row>
    <row r="1292" spans="1:19" s="50" customFormat="1" ht="46.8" x14ac:dyDescent="0.25">
      <c r="A1292" s="94"/>
      <c r="B1292" s="1" t="s">
        <v>404</v>
      </c>
      <c r="C1292" s="39">
        <v>934</v>
      </c>
      <c r="D1292" s="37" t="s">
        <v>8</v>
      </c>
      <c r="E1292" s="37" t="s">
        <v>8</v>
      </c>
      <c r="F1292" s="37" t="s">
        <v>17</v>
      </c>
      <c r="G1292" s="37" t="s">
        <v>90</v>
      </c>
      <c r="H1292" s="37" t="s">
        <v>5</v>
      </c>
      <c r="I1292" s="37"/>
      <c r="J1292" s="39"/>
      <c r="K1292" s="6">
        <f>K1293+K1296</f>
        <v>7844.3</v>
      </c>
      <c r="L1292" s="15"/>
      <c r="M1292" s="15"/>
      <c r="N1292" s="15"/>
      <c r="O1292" s="15"/>
      <c r="P1292" s="15"/>
      <c r="Q1292" s="15"/>
      <c r="R1292" s="15"/>
      <c r="S1292" s="15"/>
    </row>
    <row r="1293" spans="1:19" s="50" customFormat="1" x14ac:dyDescent="0.25">
      <c r="A1293" s="94"/>
      <c r="B1293" s="1" t="s">
        <v>405</v>
      </c>
      <c r="C1293" s="39">
        <v>934</v>
      </c>
      <c r="D1293" s="37" t="s">
        <v>8</v>
      </c>
      <c r="E1293" s="37" t="s">
        <v>8</v>
      </c>
      <c r="F1293" s="37" t="s">
        <v>17</v>
      </c>
      <c r="G1293" s="37" t="s">
        <v>90</v>
      </c>
      <c r="H1293" s="37" t="s">
        <v>5</v>
      </c>
      <c r="I1293" s="37" t="s">
        <v>212</v>
      </c>
      <c r="J1293" s="39"/>
      <c r="K1293" s="6">
        <f>K1295+K1294</f>
        <v>7844.3</v>
      </c>
      <c r="L1293" s="15"/>
      <c r="M1293" s="15"/>
      <c r="N1293" s="15"/>
      <c r="O1293" s="15"/>
      <c r="P1293" s="15"/>
      <c r="Q1293" s="15"/>
      <c r="R1293" s="15"/>
      <c r="S1293" s="15"/>
    </row>
    <row r="1294" spans="1:19" s="50" customFormat="1" ht="55.5" customHeight="1" x14ac:dyDescent="0.25">
      <c r="A1294" s="94"/>
      <c r="B1294" s="1" t="s">
        <v>122</v>
      </c>
      <c r="C1294" s="39">
        <v>934</v>
      </c>
      <c r="D1294" s="37" t="s">
        <v>8</v>
      </c>
      <c r="E1294" s="37" t="s">
        <v>8</v>
      </c>
      <c r="F1294" s="37" t="s">
        <v>17</v>
      </c>
      <c r="G1294" s="37" t="s">
        <v>90</v>
      </c>
      <c r="H1294" s="37" t="s">
        <v>5</v>
      </c>
      <c r="I1294" s="37" t="s">
        <v>212</v>
      </c>
      <c r="J1294" s="39" t="s">
        <v>48</v>
      </c>
      <c r="K1294" s="6">
        <f>3287.9+0.1+409.2</f>
        <v>3697.2</v>
      </c>
      <c r="L1294" s="15"/>
      <c r="M1294" s="15"/>
      <c r="N1294" s="15"/>
      <c r="O1294" s="15"/>
      <c r="P1294" s="15"/>
      <c r="Q1294" s="15"/>
      <c r="R1294" s="15"/>
      <c r="S1294" s="15"/>
    </row>
    <row r="1295" spans="1:19" s="50" customFormat="1" ht="31.2" x14ac:dyDescent="0.25">
      <c r="A1295" s="94"/>
      <c r="B1295" s="1" t="s">
        <v>123</v>
      </c>
      <c r="C1295" s="39">
        <v>934</v>
      </c>
      <c r="D1295" s="37" t="s">
        <v>8</v>
      </c>
      <c r="E1295" s="37" t="s">
        <v>8</v>
      </c>
      <c r="F1295" s="37" t="s">
        <v>17</v>
      </c>
      <c r="G1295" s="37" t="s">
        <v>90</v>
      </c>
      <c r="H1295" s="37" t="s">
        <v>5</v>
      </c>
      <c r="I1295" s="37" t="s">
        <v>212</v>
      </c>
      <c r="J1295" s="39" t="s">
        <v>49</v>
      </c>
      <c r="K1295" s="6">
        <f>554+2183.4+742.9+(576)+90.8</f>
        <v>4147.1000000000004</v>
      </c>
      <c r="L1295" s="15"/>
      <c r="M1295" s="15"/>
      <c r="N1295" s="15"/>
      <c r="O1295" s="15"/>
      <c r="P1295" s="15"/>
      <c r="Q1295" s="15"/>
      <c r="R1295" s="15"/>
      <c r="S1295" s="15"/>
    </row>
    <row r="1296" spans="1:19" s="50" customFormat="1" ht="31.2" x14ac:dyDescent="0.25">
      <c r="A1296" s="94"/>
      <c r="B1296" s="1" t="s">
        <v>289</v>
      </c>
      <c r="C1296" s="39">
        <v>934</v>
      </c>
      <c r="D1296" s="37" t="s">
        <v>8</v>
      </c>
      <c r="E1296" s="37" t="s">
        <v>8</v>
      </c>
      <c r="F1296" s="37" t="s">
        <v>17</v>
      </c>
      <c r="G1296" s="37" t="s">
        <v>90</v>
      </c>
      <c r="H1296" s="37" t="s">
        <v>5</v>
      </c>
      <c r="I1296" s="37" t="s">
        <v>288</v>
      </c>
      <c r="J1296" s="39"/>
      <c r="K1296" s="6">
        <f>K1297</f>
        <v>0</v>
      </c>
      <c r="L1296" s="15"/>
      <c r="M1296" s="15"/>
      <c r="N1296" s="15"/>
      <c r="O1296" s="15"/>
      <c r="P1296" s="15"/>
      <c r="Q1296" s="15"/>
      <c r="R1296" s="15"/>
      <c r="S1296" s="15"/>
    </row>
    <row r="1297" spans="1:19" s="50" customFormat="1" ht="31.2" x14ac:dyDescent="0.25">
      <c r="A1297" s="94"/>
      <c r="B1297" s="1" t="s">
        <v>123</v>
      </c>
      <c r="C1297" s="39">
        <v>934</v>
      </c>
      <c r="D1297" s="37" t="s">
        <v>8</v>
      </c>
      <c r="E1297" s="37" t="s">
        <v>8</v>
      </c>
      <c r="F1297" s="37" t="s">
        <v>17</v>
      </c>
      <c r="G1297" s="37" t="s">
        <v>90</v>
      </c>
      <c r="H1297" s="37" t="s">
        <v>5</v>
      </c>
      <c r="I1297" s="37" t="s">
        <v>288</v>
      </c>
      <c r="J1297" s="39" t="s">
        <v>49</v>
      </c>
      <c r="K1297" s="6"/>
      <c r="L1297" s="15"/>
      <c r="M1297" s="15"/>
      <c r="N1297" s="15"/>
      <c r="O1297" s="15"/>
      <c r="P1297" s="15"/>
      <c r="Q1297" s="15"/>
      <c r="R1297" s="15"/>
      <c r="S1297" s="15"/>
    </row>
    <row r="1298" spans="1:19" s="50" customFormat="1" ht="31.2" x14ac:dyDescent="0.25">
      <c r="A1298" s="94"/>
      <c r="B1298" s="1" t="s">
        <v>285</v>
      </c>
      <c r="C1298" s="39">
        <v>934</v>
      </c>
      <c r="D1298" s="37" t="s">
        <v>8</v>
      </c>
      <c r="E1298" s="37" t="s">
        <v>8</v>
      </c>
      <c r="F1298" s="37" t="s">
        <v>70</v>
      </c>
      <c r="G1298" s="2"/>
      <c r="H1298" s="39"/>
      <c r="I1298" s="39"/>
      <c r="J1298" s="39"/>
      <c r="K1298" s="6">
        <f>K1303+K1299</f>
        <v>2591.8000000000002</v>
      </c>
      <c r="L1298" s="15"/>
      <c r="M1298" s="15"/>
      <c r="N1298" s="15"/>
      <c r="O1298" s="15"/>
      <c r="P1298" s="15"/>
      <c r="Q1298" s="15"/>
      <c r="R1298" s="15"/>
      <c r="S1298" s="15"/>
    </row>
    <row r="1299" spans="1:19" s="50" customFormat="1" ht="46.8" x14ac:dyDescent="0.25">
      <c r="A1299" s="94"/>
      <c r="B1299" s="1" t="s">
        <v>336</v>
      </c>
      <c r="C1299" s="39">
        <v>934</v>
      </c>
      <c r="D1299" s="37" t="s">
        <v>8</v>
      </c>
      <c r="E1299" s="37" t="s">
        <v>8</v>
      </c>
      <c r="F1299" s="37" t="s">
        <v>70</v>
      </c>
      <c r="G1299" s="37" t="s">
        <v>90</v>
      </c>
      <c r="H1299" s="37"/>
      <c r="I1299" s="37"/>
      <c r="J1299" s="37"/>
      <c r="K1299" s="6">
        <f>K1300</f>
        <v>347.8</v>
      </c>
      <c r="L1299" s="15"/>
      <c r="M1299" s="15"/>
      <c r="N1299" s="15"/>
      <c r="O1299" s="15"/>
      <c r="P1299" s="15"/>
      <c r="Q1299" s="15"/>
      <c r="R1299" s="15"/>
      <c r="S1299" s="15"/>
    </row>
    <row r="1300" spans="1:19" s="50" customFormat="1" ht="46.8" x14ac:dyDescent="0.25">
      <c r="A1300" s="94"/>
      <c r="B1300" s="1" t="s">
        <v>337</v>
      </c>
      <c r="C1300" s="39">
        <v>934</v>
      </c>
      <c r="D1300" s="37" t="s">
        <v>8</v>
      </c>
      <c r="E1300" s="37" t="s">
        <v>8</v>
      </c>
      <c r="F1300" s="37" t="s">
        <v>70</v>
      </c>
      <c r="G1300" s="37" t="s">
        <v>90</v>
      </c>
      <c r="H1300" s="37" t="s">
        <v>2</v>
      </c>
      <c r="I1300" s="37"/>
      <c r="J1300" s="37"/>
      <c r="K1300" s="6">
        <f>K1301</f>
        <v>347.8</v>
      </c>
      <c r="L1300" s="15"/>
      <c r="M1300" s="15"/>
      <c r="N1300" s="15"/>
      <c r="O1300" s="15"/>
      <c r="P1300" s="15"/>
      <c r="Q1300" s="15"/>
      <c r="R1300" s="15"/>
      <c r="S1300" s="15"/>
    </row>
    <row r="1301" spans="1:19" s="50" customFormat="1" ht="78" x14ac:dyDescent="0.25">
      <c r="A1301" s="94"/>
      <c r="B1301" s="1" t="s">
        <v>338</v>
      </c>
      <c r="C1301" s="39">
        <v>934</v>
      </c>
      <c r="D1301" s="37" t="s">
        <v>8</v>
      </c>
      <c r="E1301" s="37" t="s">
        <v>8</v>
      </c>
      <c r="F1301" s="37" t="s">
        <v>70</v>
      </c>
      <c r="G1301" s="37" t="s">
        <v>90</v>
      </c>
      <c r="H1301" s="37" t="s">
        <v>2</v>
      </c>
      <c r="I1301" s="37" t="s">
        <v>284</v>
      </c>
      <c r="J1301" s="37"/>
      <c r="K1301" s="6">
        <f>K1302</f>
        <v>347.8</v>
      </c>
      <c r="L1301" s="15"/>
      <c r="M1301" s="15"/>
      <c r="N1301" s="15"/>
      <c r="O1301" s="15"/>
      <c r="P1301" s="15"/>
      <c r="Q1301" s="15"/>
      <c r="R1301" s="15"/>
      <c r="S1301" s="15"/>
    </row>
    <row r="1302" spans="1:19" s="50" customFormat="1" ht="31.2" x14ac:dyDescent="0.25">
      <c r="A1302" s="94"/>
      <c r="B1302" s="1" t="s">
        <v>123</v>
      </c>
      <c r="C1302" s="39">
        <v>934</v>
      </c>
      <c r="D1302" s="37" t="s">
        <v>8</v>
      </c>
      <c r="E1302" s="37" t="s">
        <v>8</v>
      </c>
      <c r="F1302" s="37" t="s">
        <v>70</v>
      </c>
      <c r="G1302" s="37" t="s">
        <v>90</v>
      </c>
      <c r="H1302" s="37" t="s">
        <v>2</v>
      </c>
      <c r="I1302" s="37" t="s">
        <v>284</v>
      </c>
      <c r="J1302" s="37" t="s">
        <v>49</v>
      </c>
      <c r="K1302" s="6">
        <v>347.8</v>
      </c>
      <c r="L1302" s="15"/>
      <c r="M1302" s="15"/>
      <c r="N1302" s="15"/>
      <c r="O1302" s="15"/>
      <c r="P1302" s="15"/>
      <c r="Q1302" s="15"/>
      <c r="R1302" s="15"/>
      <c r="S1302" s="15"/>
    </row>
    <row r="1303" spans="1:19" s="50" customFormat="1" ht="31.2" x14ac:dyDescent="0.25">
      <c r="A1303" s="94"/>
      <c r="B1303" s="1" t="s">
        <v>339</v>
      </c>
      <c r="C1303" s="39">
        <v>934</v>
      </c>
      <c r="D1303" s="37" t="s">
        <v>8</v>
      </c>
      <c r="E1303" s="37" t="s">
        <v>8</v>
      </c>
      <c r="F1303" s="37" t="s">
        <v>70</v>
      </c>
      <c r="G1303" s="38">
        <v>2</v>
      </c>
      <c r="H1303" s="37"/>
      <c r="I1303" s="37"/>
      <c r="J1303" s="37"/>
      <c r="K1303" s="6">
        <f>K1304</f>
        <v>2244</v>
      </c>
      <c r="L1303" s="15"/>
      <c r="M1303" s="15"/>
      <c r="N1303" s="15"/>
      <c r="O1303" s="15"/>
      <c r="P1303" s="15"/>
      <c r="Q1303" s="15"/>
      <c r="R1303" s="15"/>
      <c r="S1303" s="15"/>
    </row>
    <row r="1304" spans="1:19" s="50" customFormat="1" ht="78.75" customHeight="1" x14ac:dyDescent="0.25">
      <c r="A1304" s="94"/>
      <c r="B1304" s="59" t="s">
        <v>518</v>
      </c>
      <c r="C1304" s="39">
        <v>934</v>
      </c>
      <c r="D1304" s="37" t="s">
        <v>8</v>
      </c>
      <c r="E1304" s="37" t="s">
        <v>8</v>
      </c>
      <c r="F1304" s="37" t="s">
        <v>70</v>
      </c>
      <c r="G1304" s="38">
        <v>2</v>
      </c>
      <c r="H1304" s="37" t="s">
        <v>2</v>
      </c>
      <c r="I1304" s="37"/>
      <c r="J1304" s="37"/>
      <c r="K1304" s="6">
        <f>K1305</f>
        <v>2244</v>
      </c>
      <c r="L1304" s="15"/>
      <c r="M1304" s="15"/>
      <c r="N1304" s="15"/>
      <c r="O1304" s="15"/>
      <c r="P1304" s="15"/>
      <c r="Q1304" s="15"/>
      <c r="R1304" s="15"/>
      <c r="S1304" s="15"/>
    </row>
    <row r="1305" spans="1:19" s="50" customFormat="1" ht="46.8" x14ac:dyDescent="0.25">
      <c r="A1305" s="94"/>
      <c r="B1305" s="1" t="s">
        <v>519</v>
      </c>
      <c r="C1305" s="39">
        <v>934</v>
      </c>
      <c r="D1305" s="37" t="s">
        <v>8</v>
      </c>
      <c r="E1305" s="37" t="s">
        <v>8</v>
      </c>
      <c r="F1305" s="37" t="s">
        <v>70</v>
      </c>
      <c r="G1305" s="38">
        <v>2</v>
      </c>
      <c r="H1305" s="37" t="s">
        <v>2</v>
      </c>
      <c r="I1305" s="37" t="s">
        <v>156</v>
      </c>
      <c r="J1305" s="37"/>
      <c r="K1305" s="6">
        <f>K1306</f>
        <v>2244</v>
      </c>
      <c r="L1305" s="15"/>
      <c r="M1305" s="15"/>
      <c r="N1305" s="15"/>
      <c r="O1305" s="15"/>
      <c r="P1305" s="15"/>
      <c r="Q1305" s="15"/>
      <c r="R1305" s="15"/>
      <c r="S1305" s="15"/>
    </row>
    <row r="1306" spans="1:19" s="50" customFormat="1" ht="31.2" x14ac:dyDescent="0.25">
      <c r="A1306" s="94"/>
      <c r="B1306" s="1" t="s">
        <v>123</v>
      </c>
      <c r="C1306" s="39">
        <v>934</v>
      </c>
      <c r="D1306" s="37" t="s">
        <v>8</v>
      </c>
      <c r="E1306" s="37" t="s">
        <v>8</v>
      </c>
      <c r="F1306" s="37" t="s">
        <v>70</v>
      </c>
      <c r="G1306" s="38">
        <v>2</v>
      </c>
      <c r="H1306" s="37" t="s">
        <v>2</v>
      </c>
      <c r="I1306" s="37" t="s">
        <v>156</v>
      </c>
      <c r="J1306" s="37" t="s">
        <v>49</v>
      </c>
      <c r="K1306" s="6">
        <f>1994+250</f>
        <v>2244</v>
      </c>
      <c r="L1306" s="15"/>
      <c r="M1306" s="15"/>
      <c r="N1306" s="15"/>
      <c r="O1306" s="15"/>
      <c r="P1306" s="15"/>
      <c r="Q1306" s="15"/>
      <c r="R1306" s="15"/>
      <c r="S1306" s="15"/>
    </row>
    <row r="1307" spans="1:19" s="50" customFormat="1" x14ac:dyDescent="0.25">
      <c r="A1307" s="94"/>
      <c r="B1307" s="1" t="s">
        <v>27</v>
      </c>
      <c r="C1307" s="39">
        <v>934</v>
      </c>
      <c r="D1307" s="37" t="s">
        <v>8</v>
      </c>
      <c r="E1307" s="37" t="s">
        <v>24</v>
      </c>
      <c r="F1307" s="61"/>
      <c r="G1307" s="61"/>
      <c r="H1307" s="61"/>
      <c r="I1307" s="61"/>
      <c r="J1307" s="61"/>
      <c r="K1307" s="6">
        <f>K1308</f>
        <v>5638.2</v>
      </c>
      <c r="L1307" s="15"/>
      <c r="M1307" s="15"/>
      <c r="N1307" s="15"/>
      <c r="O1307" s="15"/>
      <c r="P1307" s="15"/>
      <c r="Q1307" s="15"/>
      <c r="R1307" s="15"/>
      <c r="S1307" s="15"/>
    </row>
    <row r="1308" spans="1:19" s="50" customFormat="1" x14ac:dyDescent="0.25">
      <c r="A1308" s="94"/>
      <c r="B1308" s="1" t="s">
        <v>401</v>
      </c>
      <c r="C1308" s="39">
        <v>934</v>
      </c>
      <c r="D1308" s="37" t="s">
        <v>8</v>
      </c>
      <c r="E1308" s="37" t="s">
        <v>24</v>
      </c>
      <c r="F1308" s="37" t="s">
        <v>17</v>
      </c>
      <c r="G1308" s="37"/>
      <c r="H1308" s="37"/>
      <c r="I1308" s="37"/>
      <c r="J1308" s="37"/>
      <c r="K1308" s="6">
        <f>K1309</f>
        <v>5638.2</v>
      </c>
      <c r="L1308" s="15"/>
      <c r="M1308" s="15"/>
      <c r="N1308" s="15"/>
      <c r="O1308" s="15"/>
      <c r="P1308" s="15"/>
      <c r="Q1308" s="15"/>
      <c r="R1308" s="15"/>
      <c r="S1308" s="15"/>
    </row>
    <row r="1309" spans="1:19" s="50" customFormat="1" x14ac:dyDescent="0.25">
      <c r="A1309" s="94"/>
      <c r="B1309" s="1" t="s">
        <v>402</v>
      </c>
      <c r="C1309" s="39">
        <v>934</v>
      </c>
      <c r="D1309" s="37" t="s">
        <v>8</v>
      </c>
      <c r="E1309" s="37" t="s">
        <v>24</v>
      </c>
      <c r="F1309" s="37" t="s">
        <v>17</v>
      </c>
      <c r="G1309" s="37" t="s">
        <v>90</v>
      </c>
      <c r="H1309" s="37"/>
      <c r="I1309" s="37"/>
      <c r="J1309" s="37"/>
      <c r="K1309" s="6">
        <f>K1310</f>
        <v>5638.2</v>
      </c>
      <c r="L1309" s="15"/>
      <c r="M1309" s="15"/>
      <c r="N1309" s="15"/>
      <c r="O1309" s="15"/>
      <c r="P1309" s="15"/>
      <c r="Q1309" s="15"/>
      <c r="R1309" s="15"/>
      <c r="S1309" s="15"/>
    </row>
    <row r="1310" spans="1:19" s="50" customFormat="1" ht="46.8" x14ac:dyDescent="0.25">
      <c r="A1310" s="94"/>
      <c r="B1310" s="1" t="s">
        <v>527</v>
      </c>
      <c r="C1310" s="39">
        <v>934</v>
      </c>
      <c r="D1310" s="37" t="s">
        <v>8</v>
      </c>
      <c r="E1310" s="37" t="s">
        <v>24</v>
      </c>
      <c r="F1310" s="37" t="s">
        <v>17</v>
      </c>
      <c r="G1310" s="37" t="s">
        <v>90</v>
      </c>
      <c r="H1310" s="37" t="s">
        <v>2</v>
      </c>
      <c r="I1310" s="37"/>
      <c r="J1310" s="37"/>
      <c r="K1310" s="6">
        <f>K1311+K1315</f>
        <v>5638.2</v>
      </c>
      <c r="L1310" s="15"/>
      <c r="M1310" s="15"/>
      <c r="N1310" s="15"/>
      <c r="O1310" s="15"/>
      <c r="P1310" s="15"/>
      <c r="Q1310" s="15"/>
      <c r="R1310" s="15"/>
      <c r="S1310" s="15"/>
    </row>
    <row r="1311" spans="1:19" s="50" customFormat="1" x14ac:dyDescent="0.25">
      <c r="A1311" s="94"/>
      <c r="B1311" s="1" t="s">
        <v>60</v>
      </c>
      <c r="C1311" s="39">
        <v>934</v>
      </c>
      <c r="D1311" s="37" t="s">
        <v>8</v>
      </c>
      <c r="E1311" s="37" t="s">
        <v>24</v>
      </c>
      <c r="F1311" s="37" t="s">
        <v>17</v>
      </c>
      <c r="G1311" s="37" t="s">
        <v>90</v>
      </c>
      <c r="H1311" s="37" t="s">
        <v>2</v>
      </c>
      <c r="I1311" s="37" t="s">
        <v>78</v>
      </c>
      <c r="J1311" s="37"/>
      <c r="K1311" s="6">
        <f>K1312+K1313+K1314</f>
        <v>5627.3</v>
      </c>
      <c r="L1311" s="15"/>
      <c r="M1311" s="15"/>
      <c r="N1311" s="15"/>
      <c r="O1311" s="15"/>
      <c r="P1311" s="15"/>
      <c r="Q1311" s="15"/>
      <c r="R1311" s="15"/>
      <c r="S1311" s="15"/>
    </row>
    <row r="1312" spans="1:19" s="50" customFormat="1" ht="51" customHeight="1" x14ac:dyDescent="0.25">
      <c r="A1312" s="94"/>
      <c r="B1312" s="1" t="s">
        <v>122</v>
      </c>
      <c r="C1312" s="39">
        <v>934</v>
      </c>
      <c r="D1312" s="37" t="s">
        <v>8</v>
      </c>
      <c r="E1312" s="37" t="s">
        <v>24</v>
      </c>
      <c r="F1312" s="37" t="s">
        <v>17</v>
      </c>
      <c r="G1312" s="37" t="s">
        <v>90</v>
      </c>
      <c r="H1312" s="37" t="s">
        <v>2</v>
      </c>
      <c r="I1312" s="37" t="s">
        <v>78</v>
      </c>
      <c r="J1312" s="37" t="s">
        <v>48</v>
      </c>
      <c r="K1312" s="6">
        <f>5531.6-0.5+0.5</f>
        <v>5531.6</v>
      </c>
      <c r="L1312" s="15"/>
      <c r="M1312" s="15"/>
      <c r="N1312" s="15"/>
      <c r="O1312" s="15"/>
      <c r="P1312" s="15"/>
      <c r="Q1312" s="15"/>
      <c r="R1312" s="15"/>
      <c r="S1312" s="15"/>
    </row>
    <row r="1313" spans="1:19" s="50" customFormat="1" ht="31.2" x14ac:dyDescent="0.25">
      <c r="A1313" s="94"/>
      <c r="B1313" s="1" t="s">
        <v>123</v>
      </c>
      <c r="C1313" s="39">
        <v>934</v>
      </c>
      <c r="D1313" s="37" t="s">
        <v>8</v>
      </c>
      <c r="E1313" s="37" t="s">
        <v>24</v>
      </c>
      <c r="F1313" s="37" t="s">
        <v>17</v>
      </c>
      <c r="G1313" s="37" t="s">
        <v>90</v>
      </c>
      <c r="H1313" s="37" t="s">
        <v>2</v>
      </c>
      <c r="I1313" s="37" t="s">
        <v>78</v>
      </c>
      <c r="J1313" s="37" t="s">
        <v>49</v>
      </c>
      <c r="K1313" s="6">
        <f>5626.5-5533.3+0.3</f>
        <v>93.499999999999815</v>
      </c>
      <c r="L1313" s="15"/>
      <c r="M1313" s="15"/>
      <c r="N1313" s="15"/>
      <c r="O1313" s="15"/>
      <c r="P1313" s="15"/>
      <c r="Q1313" s="15"/>
      <c r="R1313" s="15"/>
      <c r="S1313" s="15"/>
    </row>
    <row r="1314" spans="1:19" s="50" customFormat="1" x14ac:dyDescent="0.25">
      <c r="A1314" s="94"/>
      <c r="B1314" s="1" t="s">
        <v>50</v>
      </c>
      <c r="C1314" s="39">
        <v>934</v>
      </c>
      <c r="D1314" s="37" t="s">
        <v>8</v>
      </c>
      <c r="E1314" s="37" t="s">
        <v>24</v>
      </c>
      <c r="F1314" s="37" t="s">
        <v>17</v>
      </c>
      <c r="G1314" s="37" t="s">
        <v>90</v>
      </c>
      <c r="H1314" s="37" t="s">
        <v>2</v>
      </c>
      <c r="I1314" s="37" t="s">
        <v>233</v>
      </c>
      <c r="J1314" s="37" t="s">
        <v>51</v>
      </c>
      <c r="K1314" s="6">
        <f>1.7+0.5</f>
        <v>2.2000000000000002</v>
      </c>
      <c r="L1314" s="15"/>
      <c r="M1314" s="15"/>
      <c r="N1314" s="15"/>
      <c r="O1314" s="15"/>
      <c r="P1314" s="15"/>
      <c r="Q1314" s="15"/>
      <c r="R1314" s="15"/>
      <c r="S1314" s="15"/>
    </row>
    <row r="1315" spans="1:19" s="50" customFormat="1" x14ac:dyDescent="0.25">
      <c r="A1315" s="94"/>
      <c r="B1315" s="1" t="s">
        <v>234</v>
      </c>
      <c r="C1315" s="2">
        <v>934</v>
      </c>
      <c r="D1315" s="37" t="s">
        <v>8</v>
      </c>
      <c r="E1315" s="37" t="s">
        <v>24</v>
      </c>
      <c r="F1315" s="37" t="s">
        <v>17</v>
      </c>
      <c r="G1315" s="38">
        <v>1</v>
      </c>
      <c r="H1315" s="37" t="s">
        <v>2</v>
      </c>
      <c r="I1315" s="37" t="s">
        <v>233</v>
      </c>
      <c r="J1315" s="37"/>
      <c r="K1315" s="6">
        <f>SUM(K1316)</f>
        <v>10.9</v>
      </c>
      <c r="L1315" s="15"/>
      <c r="M1315" s="15"/>
      <c r="N1315" s="15"/>
      <c r="O1315" s="15"/>
      <c r="P1315" s="15"/>
      <c r="Q1315" s="15"/>
      <c r="R1315" s="15"/>
      <c r="S1315" s="15"/>
    </row>
    <row r="1316" spans="1:19" s="50" customFormat="1" ht="31.2" x14ac:dyDescent="0.25">
      <c r="A1316" s="94"/>
      <c r="B1316" s="1" t="s">
        <v>123</v>
      </c>
      <c r="C1316" s="2">
        <v>934</v>
      </c>
      <c r="D1316" s="37" t="s">
        <v>8</v>
      </c>
      <c r="E1316" s="37" t="s">
        <v>24</v>
      </c>
      <c r="F1316" s="37" t="s">
        <v>17</v>
      </c>
      <c r="G1316" s="38">
        <v>1</v>
      </c>
      <c r="H1316" s="37" t="s">
        <v>2</v>
      </c>
      <c r="I1316" s="37" t="s">
        <v>233</v>
      </c>
      <c r="J1316" s="37" t="s">
        <v>49</v>
      </c>
      <c r="K1316" s="6">
        <v>10.9</v>
      </c>
      <c r="L1316" s="15"/>
      <c r="M1316" s="15"/>
      <c r="N1316" s="15"/>
      <c r="O1316" s="15"/>
      <c r="P1316" s="15"/>
      <c r="Q1316" s="15"/>
      <c r="R1316" s="15"/>
      <c r="S1316" s="15"/>
    </row>
    <row r="1317" spans="1:19" s="50" customFormat="1" ht="46.8" x14ac:dyDescent="0.25">
      <c r="A1317" s="94" t="s">
        <v>40</v>
      </c>
      <c r="B1317" s="1" t="s">
        <v>406</v>
      </c>
      <c r="C1317" s="2">
        <v>942</v>
      </c>
      <c r="D1317" s="37"/>
      <c r="E1317" s="37"/>
      <c r="F1317" s="37"/>
      <c r="G1317" s="38"/>
      <c r="H1317" s="37"/>
      <c r="I1317" s="37"/>
      <c r="J1317" s="37"/>
      <c r="K1317" s="6">
        <f>K1324+K1366+K1373+K1318</f>
        <v>226057</v>
      </c>
      <c r="L1317" s="15"/>
      <c r="M1317" s="15"/>
      <c r="N1317" s="15"/>
      <c r="O1317" s="15"/>
      <c r="P1317" s="15"/>
      <c r="Q1317" s="15"/>
      <c r="R1317" s="15"/>
      <c r="S1317" s="15"/>
    </row>
    <row r="1318" spans="1:19" s="50" customFormat="1" x14ac:dyDescent="0.25">
      <c r="A1318" s="94"/>
      <c r="B1318" s="1" t="s">
        <v>14</v>
      </c>
      <c r="C1318" s="2">
        <v>942</v>
      </c>
      <c r="D1318" s="37" t="s">
        <v>5</v>
      </c>
      <c r="E1318" s="39"/>
      <c r="F1318" s="39"/>
      <c r="G1318" s="2"/>
      <c r="H1318" s="37"/>
      <c r="I1318" s="37"/>
      <c r="J1318" s="37"/>
      <c r="K1318" s="6">
        <f>K1319</f>
        <v>808.1</v>
      </c>
      <c r="L1318" s="15"/>
      <c r="M1318" s="15"/>
      <c r="N1318" s="15"/>
      <c r="O1318" s="15"/>
      <c r="P1318" s="15"/>
      <c r="Q1318" s="15"/>
      <c r="R1318" s="15"/>
      <c r="S1318" s="15"/>
    </row>
    <row r="1319" spans="1:19" s="50" customFormat="1" ht="31.2" x14ac:dyDescent="0.25">
      <c r="A1319" s="94"/>
      <c r="B1319" s="1" t="s">
        <v>130</v>
      </c>
      <c r="C1319" s="2">
        <v>942</v>
      </c>
      <c r="D1319" s="39" t="s">
        <v>5</v>
      </c>
      <c r="E1319" s="39" t="s">
        <v>10</v>
      </c>
      <c r="F1319" s="39"/>
      <c r="G1319" s="2"/>
      <c r="H1319" s="37"/>
      <c r="I1319" s="37"/>
      <c r="J1319" s="37"/>
      <c r="K1319" s="6">
        <f>K1320</f>
        <v>808.1</v>
      </c>
      <c r="L1319" s="15"/>
      <c r="M1319" s="15"/>
      <c r="N1319" s="15"/>
      <c r="O1319" s="15"/>
      <c r="P1319" s="15"/>
      <c r="Q1319" s="15"/>
      <c r="R1319" s="15"/>
      <c r="S1319" s="15"/>
    </row>
    <row r="1320" spans="1:19" s="50" customFormat="1" x14ac:dyDescent="0.25">
      <c r="A1320" s="94"/>
      <c r="B1320" s="1" t="s">
        <v>352</v>
      </c>
      <c r="C1320" s="2">
        <v>942</v>
      </c>
      <c r="D1320" s="39" t="s">
        <v>5</v>
      </c>
      <c r="E1320" s="39" t="s">
        <v>10</v>
      </c>
      <c r="F1320" s="39" t="s">
        <v>83</v>
      </c>
      <c r="G1320" s="2"/>
      <c r="H1320" s="37"/>
      <c r="I1320" s="37"/>
      <c r="J1320" s="37"/>
      <c r="K1320" s="6">
        <f>K1321</f>
        <v>808.1</v>
      </c>
      <c r="L1320" s="15"/>
      <c r="M1320" s="15"/>
      <c r="N1320" s="15"/>
      <c r="O1320" s="15"/>
      <c r="P1320" s="15"/>
      <c r="Q1320" s="15"/>
      <c r="R1320" s="15"/>
      <c r="S1320" s="15"/>
    </row>
    <row r="1321" spans="1:19" s="50" customFormat="1" ht="46.8" x14ac:dyDescent="0.25">
      <c r="A1321" s="94"/>
      <c r="B1321" s="40" t="s">
        <v>353</v>
      </c>
      <c r="C1321" s="2">
        <v>942</v>
      </c>
      <c r="D1321" s="39" t="s">
        <v>5</v>
      </c>
      <c r="E1321" s="39" t="s">
        <v>10</v>
      </c>
      <c r="F1321" s="39" t="s">
        <v>83</v>
      </c>
      <c r="G1321" s="2">
        <v>2</v>
      </c>
      <c r="H1321" s="37"/>
      <c r="I1321" s="37"/>
      <c r="J1321" s="37"/>
      <c r="K1321" s="6">
        <f>K1322</f>
        <v>808.1</v>
      </c>
      <c r="L1321" s="15"/>
      <c r="M1321" s="15"/>
      <c r="N1321" s="15"/>
      <c r="O1321" s="15"/>
      <c r="P1321" s="15"/>
      <c r="Q1321" s="15"/>
      <c r="R1321" s="15"/>
      <c r="S1321" s="15"/>
    </row>
    <row r="1322" spans="1:19" s="50" customFormat="1" ht="31.2" x14ac:dyDescent="0.25">
      <c r="A1322" s="94"/>
      <c r="B1322" s="40" t="s">
        <v>626</v>
      </c>
      <c r="C1322" s="2">
        <v>942</v>
      </c>
      <c r="D1322" s="39" t="s">
        <v>5</v>
      </c>
      <c r="E1322" s="39" t="s">
        <v>10</v>
      </c>
      <c r="F1322" s="37" t="s">
        <v>83</v>
      </c>
      <c r="G1322" s="37" t="s">
        <v>117</v>
      </c>
      <c r="H1322" s="37" t="s">
        <v>2</v>
      </c>
      <c r="I1322" s="37" t="s">
        <v>625</v>
      </c>
      <c r="J1322" s="39"/>
      <c r="K1322" s="6">
        <f>K1323</f>
        <v>808.1</v>
      </c>
      <c r="L1322" s="15"/>
      <c r="M1322" s="15"/>
      <c r="N1322" s="15"/>
      <c r="O1322" s="15"/>
      <c r="P1322" s="15"/>
      <c r="Q1322" s="15"/>
      <c r="R1322" s="15"/>
      <c r="S1322" s="15"/>
    </row>
    <row r="1323" spans="1:19" s="50" customFormat="1" ht="31.2" x14ac:dyDescent="0.25">
      <c r="A1323" s="94"/>
      <c r="B1323" s="1" t="s">
        <v>123</v>
      </c>
      <c r="C1323" s="2">
        <v>942</v>
      </c>
      <c r="D1323" s="39" t="s">
        <v>5</v>
      </c>
      <c r="E1323" s="39" t="s">
        <v>10</v>
      </c>
      <c r="F1323" s="37" t="s">
        <v>83</v>
      </c>
      <c r="G1323" s="37" t="s">
        <v>117</v>
      </c>
      <c r="H1323" s="37" t="s">
        <v>2</v>
      </c>
      <c r="I1323" s="37" t="s">
        <v>625</v>
      </c>
      <c r="J1323" s="39" t="s">
        <v>49</v>
      </c>
      <c r="K1323" s="6">
        <v>808.1</v>
      </c>
      <c r="L1323" s="15"/>
      <c r="M1323" s="15"/>
      <c r="N1323" s="15"/>
      <c r="O1323" s="15"/>
      <c r="P1323" s="15"/>
      <c r="Q1323" s="15"/>
      <c r="R1323" s="15"/>
      <c r="S1323" s="15"/>
    </row>
    <row r="1324" spans="1:19" s="50" customFormat="1" x14ac:dyDescent="0.25">
      <c r="A1324" s="94"/>
      <c r="B1324" s="1" t="s">
        <v>15</v>
      </c>
      <c r="C1324" s="2">
        <v>942</v>
      </c>
      <c r="D1324" s="37" t="s">
        <v>6</v>
      </c>
      <c r="E1324" s="37"/>
      <c r="F1324" s="37"/>
      <c r="G1324" s="38"/>
      <c r="H1324" s="37"/>
      <c r="I1324" s="37"/>
      <c r="J1324" s="37"/>
      <c r="K1324" s="6">
        <f>K1325+K1347</f>
        <v>225223.8</v>
      </c>
      <c r="L1324" s="15"/>
      <c r="M1324" s="15"/>
      <c r="N1324" s="15"/>
      <c r="O1324" s="15"/>
      <c r="P1324" s="15"/>
      <c r="Q1324" s="15"/>
      <c r="R1324" s="15"/>
      <c r="S1324" s="15"/>
    </row>
    <row r="1325" spans="1:19" s="50" customFormat="1" x14ac:dyDescent="0.25">
      <c r="A1325" s="94"/>
      <c r="B1325" s="1" t="s">
        <v>68</v>
      </c>
      <c r="C1325" s="2">
        <v>942</v>
      </c>
      <c r="D1325" s="37" t="s">
        <v>6</v>
      </c>
      <c r="E1325" s="37" t="s">
        <v>17</v>
      </c>
      <c r="F1325" s="37"/>
      <c r="G1325" s="38"/>
      <c r="H1325" s="37"/>
      <c r="I1325" s="37"/>
      <c r="J1325" s="37"/>
      <c r="K1325" s="6">
        <f t="shared" ref="K1325:K1327" si="56">K1326</f>
        <v>77188.400000000009</v>
      </c>
      <c r="L1325" s="15"/>
      <c r="M1325" s="15"/>
      <c r="N1325" s="15"/>
      <c r="O1325" s="15"/>
      <c r="P1325" s="15"/>
      <c r="Q1325" s="15"/>
      <c r="R1325" s="15"/>
      <c r="S1325" s="15"/>
    </row>
    <row r="1326" spans="1:19" s="50" customFormat="1" x14ac:dyDescent="0.25">
      <c r="A1326" s="94"/>
      <c r="B1326" s="1" t="s">
        <v>407</v>
      </c>
      <c r="C1326" s="2">
        <v>942</v>
      </c>
      <c r="D1326" s="37" t="s">
        <v>6</v>
      </c>
      <c r="E1326" s="37" t="s">
        <v>17</v>
      </c>
      <c r="F1326" s="37" t="s">
        <v>23</v>
      </c>
      <c r="G1326" s="38"/>
      <c r="H1326" s="37"/>
      <c r="I1326" s="37"/>
      <c r="J1326" s="37"/>
      <c r="K1326" s="6">
        <f>K1327+K1343</f>
        <v>77188.400000000009</v>
      </c>
      <c r="L1326" s="15"/>
      <c r="M1326" s="15"/>
      <c r="N1326" s="15"/>
      <c r="O1326" s="15"/>
      <c r="P1326" s="15"/>
      <c r="Q1326" s="15"/>
      <c r="R1326" s="15"/>
      <c r="S1326" s="15"/>
    </row>
    <row r="1327" spans="1:19" s="50" customFormat="1" ht="31.2" x14ac:dyDescent="0.25">
      <c r="A1327" s="94"/>
      <c r="B1327" s="1" t="s">
        <v>466</v>
      </c>
      <c r="C1327" s="2">
        <v>942</v>
      </c>
      <c r="D1327" s="37" t="s">
        <v>6</v>
      </c>
      <c r="E1327" s="37" t="s">
        <v>17</v>
      </c>
      <c r="F1327" s="37" t="s">
        <v>23</v>
      </c>
      <c r="G1327" s="38">
        <v>1</v>
      </c>
      <c r="H1327" s="37"/>
      <c r="I1327" s="37"/>
      <c r="J1327" s="37"/>
      <c r="K1327" s="6">
        <f t="shared" si="56"/>
        <v>72331.900000000009</v>
      </c>
      <c r="L1327" s="15"/>
      <c r="M1327" s="15"/>
      <c r="N1327" s="15"/>
      <c r="O1327" s="15"/>
      <c r="P1327" s="15"/>
      <c r="Q1327" s="15"/>
      <c r="R1327" s="15"/>
      <c r="S1327" s="15"/>
    </row>
    <row r="1328" spans="1:19" s="50" customFormat="1" ht="62.4" x14ac:dyDescent="0.25">
      <c r="A1328" s="94"/>
      <c r="B1328" s="1" t="s">
        <v>468</v>
      </c>
      <c r="C1328" s="2">
        <v>942</v>
      </c>
      <c r="D1328" s="37" t="s">
        <v>6</v>
      </c>
      <c r="E1328" s="37" t="s">
        <v>17</v>
      </c>
      <c r="F1328" s="37" t="s">
        <v>23</v>
      </c>
      <c r="G1328" s="38">
        <v>1</v>
      </c>
      <c r="H1328" s="37" t="s">
        <v>2</v>
      </c>
      <c r="I1328" s="37"/>
      <c r="J1328" s="37"/>
      <c r="K1328" s="6">
        <f>K1329+K1333+K1339+K1341+K1337</f>
        <v>72331.900000000009</v>
      </c>
      <c r="L1328" s="15"/>
      <c r="M1328" s="15"/>
      <c r="N1328" s="15"/>
      <c r="O1328" s="15"/>
      <c r="P1328" s="15"/>
      <c r="Q1328" s="15"/>
      <c r="R1328" s="15"/>
      <c r="S1328" s="15"/>
    </row>
    <row r="1329" spans="1:19" s="50" customFormat="1" x14ac:dyDescent="0.25">
      <c r="A1329" s="94"/>
      <c r="B1329" s="1" t="s">
        <v>47</v>
      </c>
      <c r="C1329" s="2">
        <v>942</v>
      </c>
      <c r="D1329" s="37" t="s">
        <v>6</v>
      </c>
      <c r="E1329" s="37" t="s">
        <v>17</v>
      </c>
      <c r="F1329" s="37" t="s">
        <v>23</v>
      </c>
      <c r="G1329" s="38">
        <v>1</v>
      </c>
      <c r="H1329" s="37" t="s">
        <v>2</v>
      </c>
      <c r="I1329" s="37" t="s">
        <v>78</v>
      </c>
      <c r="J1329" s="37"/>
      <c r="K1329" s="6">
        <f>K1330+K1331+K1332</f>
        <v>9526.5</v>
      </c>
      <c r="L1329" s="15"/>
      <c r="M1329" s="15"/>
      <c r="N1329" s="15"/>
      <c r="O1329" s="15"/>
      <c r="P1329" s="15"/>
      <c r="Q1329" s="15"/>
      <c r="R1329" s="15"/>
      <c r="S1329" s="15"/>
    </row>
    <row r="1330" spans="1:19" s="50" customFormat="1" ht="53.25" customHeight="1" x14ac:dyDescent="0.25">
      <c r="A1330" s="94"/>
      <c r="B1330" s="1" t="s">
        <v>122</v>
      </c>
      <c r="C1330" s="2">
        <v>942</v>
      </c>
      <c r="D1330" s="37" t="s">
        <v>6</v>
      </c>
      <c r="E1330" s="37" t="s">
        <v>17</v>
      </c>
      <c r="F1330" s="37" t="s">
        <v>23</v>
      </c>
      <c r="G1330" s="38">
        <v>1</v>
      </c>
      <c r="H1330" s="37" t="s">
        <v>2</v>
      </c>
      <c r="I1330" s="37" t="s">
        <v>78</v>
      </c>
      <c r="J1330" s="37" t="s">
        <v>48</v>
      </c>
      <c r="K1330" s="6">
        <f>9382.1+13.2-150</f>
        <v>9245.3000000000011</v>
      </c>
      <c r="L1330" s="15"/>
      <c r="M1330" s="15"/>
      <c r="N1330" s="15"/>
      <c r="O1330" s="15"/>
      <c r="P1330" s="15"/>
      <c r="Q1330" s="15"/>
      <c r="R1330" s="15"/>
      <c r="S1330" s="15"/>
    </row>
    <row r="1331" spans="1:19" s="50" customFormat="1" ht="31.2" x14ac:dyDescent="0.25">
      <c r="A1331" s="94"/>
      <c r="B1331" s="1" t="s">
        <v>123</v>
      </c>
      <c r="C1331" s="2">
        <v>942</v>
      </c>
      <c r="D1331" s="37" t="s">
        <v>6</v>
      </c>
      <c r="E1331" s="37" t="s">
        <v>17</v>
      </c>
      <c r="F1331" s="37" t="s">
        <v>23</v>
      </c>
      <c r="G1331" s="38">
        <v>1</v>
      </c>
      <c r="H1331" s="37" t="s">
        <v>2</v>
      </c>
      <c r="I1331" s="37" t="s">
        <v>78</v>
      </c>
      <c r="J1331" s="37" t="s">
        <v>49</v>
      </c>
      <c r="K1331" s="6">
        <f>9526-9390.1-0.5+0.5-13.2</f>
        <v>122.69999999999963</v>
      </c>
      <c r="L1331" s="15"/>
      <c r="M1331" s="15"/>
      <c r="N1331" s="15"/>
      <c r="O1331" s="15"/>
      <c r="P1331" s="15"/>
      <c r="Q1331" s="15"/>
      <c r="R1331" s="15"/>
      <c r="S1331" s="15"/>
    </row>
    <row r="1332" spans="1:19" s="50" customFormat="1" x14ac:dyDescent="0.25">
      <c r="A1332" s="94"/>
      <c r="B1332" s="1" t="s">
        <v>50</v>
      </c>
      <c r="C1332" s="2">
        <v>942</v>
      </c>
      <c r="D1332" s="37" t="s">
        <v>6</v>
      </c>
      <c r="E1332" s="37" t="s">
        <v>17</v>
      </c>
      <c r="F1332" s="37" t="s">
        <v>23</v>
      </c>
      <c r="G1332" s="38">
        <v>1</v>
      </c>
      <c r="H1332" s="37" t="s">
        <v>2</v>
      </c>
      <c r="I1332" s="37" t="s">
        <v>78</v>
      </c>
      <c r="J1332" s="37" t="s">
        <v>51</v>
      </c>
      <c r="K1332" s="6">
        <f>8+0.5+150</f>
        <v>158.5</v>
      </c>
      <c r="L1332" s="15"/>
      <c r="M1332" s="15"/>
      <c r="N1332" s="15"/>
      <c r="O1332" s="15"/>
      <c r="P1332" s="15"/>
      <c r="Q1332" s="15"/>
      <c r="R1332" s="15"/>
      <c r="S1332" s="15"/>
    </row>
    <row r="1333" spans="1:19" s="50" customFormat="1" ht="46.8" x14ac:dyDescent="0.25">
      <c r="A1333" s="94"/>
      <c r="B1333" s="1" t="s">
        <v>66</v>
      </c>
      <c r="C1333" s="2">
        <v>942</v>
      </c>
      <c r="D1333" s="37" t="s">
        <v>6</v>
      </c>
      <c r="E1333" s="37" t="s">
        <v>17</v>
      </c>
      <c r="F1333" s="37" t="s">
        <v>23</v>
      </c>
      <c r="G1333" s="38">
        <v>1</v>
      </c>
      <c r="H1333" s="37" t="s">
        <v>2</v>
      </c>
      <c r="I1333" s="37" t="s">
        <v>85</v>
      </c>
      <c r="J1333" s="37"/>
      <c r="K1333" s="6">
        <f>SUM(K1334:K1336)</f>
        <v>61984.3</v>
      </c>
      <c r="L1333" s="15"/>
      <c r="M1333" s="15"/>
      <c r="N1333" s="15"/>
      <c r="O1333" s="15"/>
      <c r="P1333" s="15"/>
      <c r="Q1333" s="15"/>
      <c r="R1333" s="15"/>
      <c r="S1333" s="15"/>
    </row>
    <row r="1334" spans="1:19" s="50" customFormat="1" ht="51.75" customHeight="1" x14ac:dyDescent="0.25">
      <c r="A1334" s="94"/>
      <c r="B1334" s="1" t="s">
        <v>122</v>
      </c>
      <c r="C1334" s="2">
        <v>942</v>
      </c>
      <c r="D1334" s="37" t="s">
        <v>6</v>
      </c>
      <c r="E1334" s="37" t="s">
        <v>17</v>
      </c>
      <c r="F1334" s="37" t="s">
        <v>23</v>
      </c>
      <c r="G1334" s="38">
        <v>1</v>
      </c>
      <c r="H1334" s="37" t="s">
        <v>2</v>
      </c>
      <c r="I1334" s="37" t="s">
        <v>85</v>
      </c>
      <c r="J1334" s="37" t="s">
        <v>48</v>
      </c>
      <c r="K1334" s="6">
        <v>5889.4</v>
      </c>
      <c r="L1334" s="15"/>
      <c r="M1334" s="15"/>
      <c r="N1334" s="15"/>
      <c r="O1334" s="15"/>
      <c r="P1334" s="15"/>
      <c r="Q1334" s="15"/>
      <c r="R1334" s="15"/>
      <c r="S1334" s="15"/>
    </row>
    <row r="1335" spans="1:19" s="50" customFormat="1" ht="31.2" x14ac:dyDescent="0.25">
      <c r="A1335" s="94"/>
      <c r="B1335" s="1" t="s">
        <v>123</v>
      </c>
      <c r="C1335" s="2">
        <v>942</v>
      </c>
      <c r="D1335" s="37" t="s">
        <v>6</v>
      </c>
      <c r="E1335" s="37" t="s">
        <v>17</v>
      </c>
      <c r="F1335" s="37" t="s">
        <v>23</v>
      </c>
      <c r="G1335" s="38">
        <v>1</v>
      </c>
      <c r="H1335" s="37" t="s">
        <v>2</v>
      </c>
      <c r="I1335" s="37" t="s">
        <v>85</v>
      </c>
      <c r="J1335" s="37" t="s">
        <v>49</v>
      </c>
      <c r="K1335" s="6">
        <f>6044.9-5889.4+600-600</f>
        <v>155.5</v>
      </c>
      <c r="L1335" s="15"/>
      <c r="M1335" s="15"/>
      <c r="N1335" s="15"/>
      <c r="O1335" s="15"/>
      <c r="P1335" s="15"/>
      <c r="Q1335" s="15"/>
      <c r="R1335" s="15"/>
      <c r="S1335" s="15"/>
    </row>
    <row r="1336" spans="1:19" s="50" customFormat="1" ht="31.2" x14ac:dyDescent="0.25">
      <c r="A1336" s="94"/>
      <c r="B1336" s="43" t="s">
        <v>121</v>
      </c>
      <c r="C1336" s="2">
        <v>942</v>
      </c>
      <c r="D1336" s="37" t="s">
        <v>6</v>
      </c>
      <c r="E1336" s="37" t="s">
        <v>17</v>
      </c>
      <c r="F1336" s="37" t="s">
        <v>23</v>
      </c>
      <c r="G1336" s="38">
        <v>1</v>
      </c>
      <c r="H1336" s="37" t="s">
        <v>2</v>
      </c>
      <c r="I1336" s="37" t="s">
        <v>85</v>
      </c>
      <c r="J1336" s="37" t="s">
        <v>59</v>
      </c>
      <c r="K1336" s="6">
        <f>55619.4+320</f>
        <v>55939.4</v>
      </c>
      <c r="L1336" s="15"/>
      <c r="M1336" s="15"/>
      <c r="N1336" s="15"/>
      <c r="O1336" s="15"/>
      <c r="P1336" s="15"/>
      <c r="Q1336" s="15"/>
      <c r="R1336" s="15"/>
      <c r="S1336" s="15"/>
    </row>
    <row r="1337" spans="1:19" s="50" customFormat="1" ht="46.8" x14ac:dyDescent="0.25">
      <c r="A1337" s="94"/>
      <c r="B1337" s="43" t="s">
        <v>614</v>
      </c>
      <c r="C1337" s="2">
        <v>942</v>
      </c>
      <c r="D1337" s="37" t="s">
        <v>6</v>
      </c>
      <c r="E1337" s="37" t="s">
        <v>17</v>
      </c>
      <c r="F1337" s="37" t="s">
        <v>23</v>
      </c>
      <c r="G1337" s="38">
        <v>1</v>
      </c>
      <c r="H1337" s="37" t="s">
        <v>2</v>
      </c>
      <c r="I1337" s="37" t="s">
        <v>613</v>
      </c>
      <c r="J1337" s="37"/>
      <c r="K1337" s="6">
        <f>K1338</f>
        <v>688.5</v>
      </c>
      <c r="L1337" s="15"/>
      <c r="M1337" s="15"/>
      <c r="N1337" s="15"/>
      <c r="O1337" s="15"/>
      <c r="P1337" s="15"/>
      <c r="Q1337" s="15"/>
      <c r="R1337" s="15"/>
      <c r="S1337" s="15"/>
    </row>
    <row r="1338" spans="1:19" s="50" customFormat="1" ht="31.2" x14ac:dyDescent="0.25">
      <c r="A1338" s="94"/>
      <c r="B1338" s="1" t="s">
        <v>123</v>
      </c>
      <c r="C1338" s="2">
        <v>942</v>
      </c>
      <c r="D1338" s="37" t="s">
        <v>6</v>
      </c>
      <c r="E1338" s="37" t="s">
        <v>17</v>
      </c>
      <c r="F1338" s="37" t="s">
        <v>23</v>
      </c>
      <c r="G1338" s="38">
        <v>1</v>
      </c>
      <c r="H1338" s="37" t="s">
        <v>2</v>
      </c>
      <c r="I1338" s="37" t="s">
        <v>613</v>
      </c>
      <c r="J1338" s="37" t="s">
        <v>49</v>
      </c>
      <c r="K1338" s="6">
        <v>688.5</v>
      </c>
      <c r="L1338" s="15"/>
      <c r="M1338" s="15"/>
      <c r="N1338" s="15"/>
      <c r="O1338" s="15"/>
      <c r="P1338" s="15"/>
      <c r="Q1338" s="15"/>
      <c r="R1338" s="15"/>
      <c r="S1338" s="15"/>
    </row>
    <row r="1339" spans="1:19" s="50" customFormat="1" x14ac:dyDescent="0.25">
      <c r="A1339" s="94"/>
      <c r="B1339" s="1" t="s">
        <v>234</v>
      </c>
      <c r="C1339" s="2">
        <v>942</v>
      </c>
      <c r="D1339" s="37" t="s">
        <v>6</v>
      </c>
      <c r="E1339" s="37" t="s">
        <v>17</v>
      </c>
      <c r="F1339" s="37" t="s">
        <v>23</v>
      </c>
      <c r="G1339" s="38">
        <v>1</v>
      </c>
      <c r="H1339" s="37" t="s">
        <v>2</v>
      </c>
      <c r="I1339" s="37" t="s">
        <v>233</v>
      </c>
      <c r="J1339" s="37"/>
      <c r="K1339" s="6">
        <f>K1340</f>
        <v>16.600000000000001</v>
      </c>
      <c r="L1339" s="15"/>
      <c r="M1339" s="15"/>
      <c r="N1339" s="15"/>
      <c r="O1339" s="15"/>
      <c r="P1339" s="15"/>
      <c r="Q1339" s="15"/>
      <c r="R1339" s="15"/>
      <c r="S1339" s="15"/>
    </row>
    <row r="1340" spans="1:19" s="50" customFormat="1" ht="31.2" x14ac:dyDescent="0.25">
      <c r="A1340" s="94"/>
      <c r="B1340" s="1" t="s">
        <v>123</v>
      </c>
      <c r="C1340" s="2">
        <v>942</v>
      </c>
      <c r="D1340" s="37" t="s">
        <v>6</v>
      </c>
      <c r="E1340" s="37" t="s">
        <v>17</v>
      </c>
      <c r="F1340" s="37" t="s">
        <v>23</v>
      </c>
      <c r="G1340" s="38">
        <v>1</v>
      </c>
      <c r="H1340" s="37" t="s">
        <v>2</v>
      </c>
      <c r="I1340" s="37" t="s">
        <v>233</v>
      </c>
      <c r="J1340" s="37" t="s">
        <v>49</v>
      </c>
      <c r="K1340" s="6">
        <v>16.600000000000001</v>
      </c>
      <c r="L1340" s="15"/>
      <c r="M1340" s="15"/>
      <c r="N1340" s="15"/>
      <c r="O1340" s="15"/>
      <c r="P1340" s="15"/>
      <c r="Q1340" s="15"/>
      <c r="R1340" s="15"/>
      <c r="S1340" s="15"/>
    </row>
    <row r="1341" spans="1:19" s="50" customFormat="1" ht="31.2" x14ac:dyDescent="0.25">
      <c r="A1341" s="94"/>
      <c r="B1341" s="1" t="s">
        <v>241</v>
      </c>
      <c r="C1341" s="2">
        <v>942</v>
      </c>
      <c r="D1341" s="37" t="s">
        <v>6</v>
      </c>
      <c r="E1341" s="37" t="s">
        <v>17</v>
      </c>
      <c r="F1341" s="37" t="s">
        <v>23</v>
      </c>
      <c r="G1341" s="38">
        <v>1</v>
      </c>
      <c r="H1341" s="37" t="s">
        <v>2</v>
      </c>
      <c r="I1341" s="37" t="s">
        <v>240</v>
      </c>
      <c r="J1341" s="37"/>
      <c r="K1341" s="6">
        <f>K1342</f>
        <v>116</v>
      </c>
      <c r="L1341" s="15"/>
      <c r="M1341" s="15"/>
      <c r="N1341" s="15"/>
      <c r="O1341" s="15"/>
      <c r="P1341" s="15"/>
      <c r="Q1341" s="15"/>
      <c r="R1341" s="15"/>
      <c r="S1341" s="15"/>
    </row>
    <row r="1342" spans="1:19" s="50" customFormat="1" ht="31.2" x14ac:dyDescent="0.25">
      <c r="A1342" s="94"/>
      <c r="B1342" s="1" t="s">
        <v>123</v>
      </c>
      <c r="C1342" s="2">
        <v>942</v>
      </c>
      <c r="D1342" s="37" t="s">
        <v>6</v>
      </c>
      <c r="E1342" s="37" t="s">
        <v>17</v>
      </c>
      <c r="F1342" s="37" t="s">
        <v>23</v>
      </c>
      <c r="G1342" s="38">
        <v>1</v>
      </c>
      <c r="H1342" s="37" t="s">
        <v>2</v>
      </c>
      <c r="I1342" s="37" t="s">
        <v>240</v>
      </c>
      <c r="J1342" s="37" t="s">
        <v>49</v>
      </c>
      <c r="K1342" s="6">
        <v>116</v>
      </c>
      <c r="L1342" s="15"/>
      <c r="M1342" s="15"/>
      <c r="N1342" s="15"/>
      <c r="O1342" s="15"/>
      <c r="P1342" s="15"/>
      <c r="Q1342" s="15"/>
      <c r="R1342" s="15"/>
      <c r="S1342" s="15"/>
    </row>
    <row r="1343" spans="1:19" s="50" customFormat="1" ht="31.2" x14ac:dyDescent="0.25">
      <c r="A1343" s="94"/>
      <c r="B1343" s="1" t="s">
        <v>581</v>
      </c>
      <c r="C1343" s="2">
        <v>942</v>
      </c>
      <c r="D1343" s="37" t="s">
        <v>6</v>
      </c>
      <c r="E1343" s="37" t="s">
        <v>17</v>
      </c>
      <c r="F1343" s="37" t="s">
        <v>23</v>
      </c>
      <c r="G1343" s="38">
        <v>3</v>
      </c>
      <c r="H1343" s="37"/>
      <c r="I1343" s="37"/>
      <c r="J1343" s="37"/>
      <c r="K1343" s="6">
        <f>K1344</f>
        <v>4856.5</v>
      </c>
      <c r="L1343" s="15"/>
      <c r="M1343" s="15"/>
      <c r="N1343" s="15"/>
      <c r="O1343" s="15"/>
      <c r="P1343" s="15"/>
      <c r="Q1343" s="15"/>
      <c r="R1343" s="15"/>
      <c r="S1343" s="15"/>
    </row>
    <row r="1344" spans="1:19" s="50" customFormat="1" ht="31.2" x14ac:dyDescent="0.25">
      <c r="A1344" s="94"/>
      <c r="B1344" s="1" t="s">
        <v>582</v>
      </c>
      <c r="C1344" s="2">
        <v>942</v>
      </c>
      <c r="D1344" s="37" t="s">
        <v>6</v>
      </c>
      <c r="E1344" s="37" t="s">
        <v>17</v>
      </c>
      <c r="F1344" s="37" t="s">
        <v>23</v>
      </c>
      <c r="G1344" s="38">
        <v>3</v>
      </c>
      <c r="H1344" s="37" t="s">
        <v>2</v>
      </c>
      <c r="I1344" s="37"/>
      <c r="J1344" s="37"/>
      <c r="K1344" s="6">
        <f>K1345</f>
        <v>4856.5</v>
      </c>
      <c r="L1344" s="15"/>
      <c r="M1344" s="15"/>
      <c r="N1344" s="15"/>
      <c r="O1344" s="15"/>
      <c r="P1344" s="15"/>
      <c r="Q1344" s="15"/>
      <c r="R1344" s="15"/>
      <c r="S1344" s="15"/>
    </row>
    <row r="1345" spans="1:19" s="50" customFormat="1" ht="31.2" x14ac:dyDescent="0.25">
      <c r="A1345" s="94"/>
      <c r="B1345" s="1" t="s">
        <v>583</v>
      </c>
      <c r="C1345" s="2">
        <v>942</v>
      </c>
      <c r="D1345" s="37" t="s">
        <v>6</v>
      </c>
      <c r="E1345" s="37" t="s">
        <v>17</v>
      </c>
      <c r="F1345" s="37" t="s">
        <v>23</v>
      </c>
      <c r="G1345" s="38">
        <v>3</v>
      </c>
      <c r="H1345" s="37" t="s">
        <v>2</v>
      </c>
      <c r="I1345" s="37" t="s">
        <v>580</v>
      </c>
      <c r="J1345" s="37"/>
      <c r="K1345" s="6">
        <f>K1346</f>
        <v>4856.5</v>
      </c>
      <c r="L1345" s="15"/>
      <c r="M1345" s="15"/>
      <c r="N1345" s="15"/>
      <c r="O1345" s="15"/>
      <c r="P1345" s="15"/>
      <c r="Q1345" s="15"/>
      <c r="R1345" s="15"/>
      <c r="S1345" s="15"/>
    </row>
    <row r="1346" spans="1:19" s="50" customFormat="1" ht="31.2" x14ac:dyDescent="0.25">
      <c r="A1346" s="94"/>
      <c r="B1346" s="1" t="s">
        <v>123</v>
      </c>
      <c r="C1346" s="2">
        <v>942</v>
      </c>
      <c r="D1346" s="37" t="s">
        <v>6</v>
      </c>
      <c r="E1346" s="37" t="s">
        <v>17</v>
      </c>
      <c r="F1346" s="37" t="s">
        <v>23</v>
      </c>
      <c r="G1346" s="38">
        <v>3</v>
      </c>
      <c r="H1346" s="37" t="s">
        <v>2</v>
      </c>
      <c r="I1346" s="37" t="s">
        <v>580</v>
      </c>
      <c r="J1346" s="37" t="s">
        <v>49</v>
      </c>
      <c r="K1346" s="6">
        <f>600+300+300+300+3356.5</f>
        <v>4856.5</v>
      </c>
      <c r="L1346" s="15"/>
      <c r="M1346" s="15"/>
      <c r="N1346" s="15"/>
      <c r="O1346" s="15"/>
      <c r="P1346" s="15"/>
      <c r="Q1346" s="15"/>
      <c r="R1346" s="15"/>
      <c r="S1346" s="15"/>
    </row>
    <row r="1347" spans="1:19" s="50" customFormat="1" x14ac:dyDescent="0.25">
      <c r="A1347" s="94"/>
      <c r="B1347" s="1" t="s">
        <v>473</v>
      </c>
      <c r="C1347" s="2">
        <v>942</v>
      </c>
      <c r="D1347" s="37" t="s">
        <v>6</v>
      </c>
      <c r="E1347" s="37" t="s">
        <v>24</v>
      </c>
      <c r="F1347" s="37"/>
      <c r="G1347" s="38"/>
      <c r="H1347" s="37"/>
      <c r="I1347" s="37"/>
      <c r="J1347" s="37"/>
      <c r="K1347" s="6">
        <f>SUM(K1348)</f>
        <v>148035.4</v>
      </c>
      <c r="L1347" s="15"/>
      <c r="M1347" s="15"/>
      <c r="N1347" s="15"/>
      <c r="O1347" s="15"/>
      <c r="P1347" s="15"/>
      <c r="Q1347" s="15"/>
      <c r="R1347" s="15"/>
      <c r="S1347" s="15"/>
    </row>
    <row r="1348" spans="1:19" s="50" customFormat="1" x14ac:dyDescent="0.25">
      <c r="A1348" s="94"/>
      <c r="B1348" s="1" t="s">
        <v>407</v>
      </c>
      <c r="C1348" s="2">
        <v>942</v>
      </c>
      <c r="D1348" s="37" t="s">
        <v>6</v>
      </c>
      <c r="E1348" s="37" t="s">
        <v>24</v>
      </c>
      <c r="F1348" s="37" t="s">
        <v>23</v>
      </c>
      <c r="G1348" s="38"/>
      <c r="H1348" s="37"/>
      <c r="I1348" s="37"/>
      <c r="J1348" s="37"/>
      <c r="K1348" s="6">
        <f>SUM(K1349)</f>
        <v>148035.4</v>
      </c>
      <c r="L1348" s="15"/>
      <c r="M1348" s="15"/>
      <c r="N1348" s="15"/>
      <c r="O1348" s="15"/>
      <c r="P1348" s="15"/>
      <c r="Q1348" s="15"/>
      <c r="R1348" s="15"/>
      <c r="S1348" s="15"/>
    </row>
    <row r="1349" spans="1:19" ht="46.8" x14ac:dyDescent="0.25">
      <c r="A1349" s="94"/>
      <c r="B1349" s="1" t="s">
        <v>467</v>
      </c>
      <c r="C1349" s="2">
        <v>942</v>
      </c>
      <c r="D1349" s="37" t="s">
        <v>6</v>
      </c>
      <c r="E1349" s="37" t="s">
        <v>24</v>
      </c>
      <c r="F1349" s="37" t="s">
        <v>23</v>
      </c>
      <c r="G1349" s="38">
        <v>2</v>
      </c>
      <c r="H1349" s="37"/>
      <c r="I1349" s="37"/>
      <c r="J1349" s="37"/>
      <c r="K1349" s="6">
        <f>K1350</f>
        <v>148035.4</v>
      </c>
    </row>
    <row r="1350" spans="1:19" x14ac:dyDescent="0.25">
      <c r="A1350" s="94"/>
      <c r="B1350" s="1" t="s">
        <v>469</v>
      </c>
      <c r="C1350" s="2">
        <v>942</v>
      </c>
      <c r="D1350" s="37" t="s">
        <v>6</v>
      </c>
      <c r="E1350" s="37" t="s">
        <v>24</v>
      </c>
      <c r="F1350" s="37" t="s">
        <v>23</v>
      </c>
      <c r="G1350" s="38">
        <v>2</v>
      </c>
      <c r="H1350" s="37" t="s">
        <v>2</v>
      </c>
      <c r="I1350" s="37"/>
      <c r="J1350" s="37"/>
      <c r="K1350" s="6">
        <f>SUM(K1351+K1354+K1358+K1356+K1360+K1362+K1364)</f>
        <v>148035.4</v>
      </c>
    </row>
    <row r="1351" spans="1:19" ht="62.4" x14ac:dyDescent="0.25">
      <c r="A1351" s="94"/>
      <c r="B1351" s="1" t="s">
        <v>471</v>
      </c>
      <c r="C1351" s="2">
        <v>942</v>
      </c>
      <c r="D1351" s="37" t="s">
        <v>6</v>
      </c>
      <c r="E1351" s="37" t="s">
        <v>24</v>
      </c>
      <c r="F1351" s="37" t="s">
        <v>23</v>
      </c>
      <c r="G1351" s="38">
        <v>2</v>
      </c>
      <c r="H1351" s="37" t="s">
        <v>2</v>
      </c>
      <c r="I1351" s="37" t="s">
        <v>470</v>
      </c>
      <c r="J1351" s="37"/>
      <c r="K1351" s="6">
        <f>SUM(K1353+K1352)</f>
        <v>0</v>
      </c>
    </row>
    <row r="1352" spans="1:19" ht="31.2" x14ac:dyDescent="0.25">
      <c r="A1352" s="94"/>
      <c r="B1352" s="1" t="s">
        <v>123</v>
      </c>
      <c r="C1352" s="2">
        <v>942</v>
      </c>
      <c r="D1352" s="37" t="s">
        <v>6</v>
      </c>
      <c r="E1352" s="37" t="s">
        <v>24</v>
      </c>
      <c r="F1352" s="37" t="s">
        <v>23</v>
      </c>
      <c r="G1352" s="38">
        <v>2</v>
      </c>
      <c r="H1352" s="37" t="s">
        <v>2</v>
      </c>
      <c r="I1352" s="37" t="s">
        <v>470</v>
      </c>
      <c r="J1352" s="37" t="s">
        <v>49</v>
      </c>
      <c r="K1352" s="6">
        <f>23383+60227.5-83610.5</f>
        <v>0</v>
      </c>
    </row>
    <row r="1353" spans="1:19" ht="31.2" x14ac:dyDescent="0.25">
      <c r="A1353" s="94"/>
      <c r="B1353" s="43" t="s">
        <v>121</v>
      </c>
      <c r="C1353" s="2">
        <v>942</v>
      </c>
      <c r="D1353" s="37" t="s">
        <v>6</v>
      </c>
      <c r="E1353" s="37" t="s">
        <v>24</v>
      </c>
      <c r="F1353" s="37" t="s">
        <v>23</v>
      </c>
      <c r="G1353" s="38">
        <v>2</v>
      </c>
      <c r="H1353" s="37" t="s">
        <v>2</v>
      </c>
      <c r="I1353" s="37" t="s">
        <v>470</v>
      </c>
      <c r="J1353" s="37" t="s">
        <v>59</v>
      </c>
      <c r="K1353" s="6">
        <f>60227.5-60227.5</f>
        <v>0</v>
      </c>
    </row>
    <row r="1354" spans="1:19" ht="46.8" x14ac:dyDescent="0.25">
      <c r="A1354" s="94"/>
      <c r="B1354" s="3" t="s">
        <v>642</v>
      </c>
      <c r="C1354" s="2">
        <v>942</v>
      </c>
      <c r="D1354" s="37" t="s">
        <v>6</v>
      </c>
      <c r="E1354" s="37" t="s">
        <v>24</v>
      </c>
      <c r="F1354" s="37" t="s">
        <v>23</v>
      </c>
      <c r="G1354" s="38">
        <v>2</v>
      </c>
      <c r="H1354" s="37" t="s">
        <v>2</v>
      </c>
      <c r="I1354" s="37" t="s">
        <v>638</v>
      </c>
      <c r="J1354" s="37"/>
      <c r="K1354" s="6">
        <f>K1355</f>
        <v>54968</v>
      </c>
    </row>
    <row r="1355" spans="1:19" ht="31.2" x14ac:dyDescent="0.25">
      <c r="A1355" s="94"/>
      <c r="B1355" s="1" t="s">
        <v>123</v>
      </c>
      <c r="C1355" s="2">
        <v>942</v>
      </c>
      <c r="D1355" s="37" t="s">
        <v>6</v>
      </c>
      <c r="E1355" s="37" t="s">
        <v>24</v>
      </c>
      <c r="F1355" s="37" t="s">
        <v>23</v>
      </c>
      <c r="G1355" s="38">
        <v>2</v>
      </c>
      <c r="H1355" s="37" t="s">
        <v>2</v>
      </c>
      <c r="I1355" s="37" t="s">
        <v>638</v>
      </c>
      <c r="J1355" s="37" t="s">
        <v>49</v>
      </c>
      <c r="K1355" s="6">
        <v>54968</v>
      </c>
    </row>
    <row r="1356" spans="1:19" ht="46.8" x14ac:dyDescent="0.25">
      <c r="A1356" s="94"/>
      <c r="B1356" s="3" t="s">
        <v>643</v>
      </c>
      <c r="C1356" s="2">
        <v>942</v>
      </c>
      <c r="D1356" s="37" t="s">
        <v>6</v>
      </c>
      <c r="E1356" s="37" t="s">
        <v>24</v>
      </c>
      <c r="F1356" s="37" t="s">
        <v>23</v>
      </c>
      <c r="G1356" s="38">
        <v>2</v>
      </c>
      <c r="H1356" s="37" t="s">
        <v>2</v>
      </c>
      <c r="I1356" s="37" t="s">
        <v>639</v>
      </c>
      <c r="J1356" s="37"/>
      <c r="K1356" s="6">
        <f>K1357</f>
        <v>0</v>
      </c>
    </row>
    <row r="1357" spans="1:19" ht="31.2" x14ac:dyDescent="0.25">
      <c r="A1357" s="94"/>
      <c r="B1357" s="1" t="s">
        <v>75</v>
      </c>
      <c r="C1357" s="2">
        <v>942</v>
      </c>
      <c r="D1357" s="37" t="s">
        <v>6</v>
      </c>
      <c r="E1357" s="37" t="s">
        <v>24</v>
      </c>
      <c r="F1357" s="37" t="s">
        <v>23</v>
      </c>
      <c r="G1357" s="38">
        <v>2</v>
      </c>
      <c r="H1357" s="37" t="s">
        <v>2</v>
      </c>
      <c r="I1357" s="37" t="s">
        <v>639</v>
      </c>
      <c r="J1357" s="37" t="s">
        <v>54</v>
      </c>
      <c r="K1357" s="6">
        <f>15815.6-9323.3-4818.9-1673.4</f>
        <v>0</v>
      </c>
    </row>
    <row r="1358" spans="1:19" ht="31.2" x14ac:dyDescent="0.25">
      <c r="A1358" s="94"/>
      <c r="B1358" s="3" t="s">
        <v>644</v>
      </c>
      <c r="C1358" s="2">
        <v>942</v>
      </c>
      <c r="D1358" s="37" t="s">
        <v>6</v>
      </c>
      <c r="E1358" s="37" t="s">
        <v>24</v>
      </c>
      <c r="F1358" s="37" t="s">
        <v>23</v>
      </c>
      <c r="G1358" s="38">
        <v>2</v>
      </c>
      <c r="H1358" s="37" t="s">
        <v>2</v>
      </c>
      <c r="I1358" s="37" t="s">
        <v>640</v>
      </c>
      <c r="J1358" s="37"/>
      <c r="K1358" s="6">
        <f>K1359</f>
        <v>12000</v>
      </c>
    </row>
    <row r="1359" spans="1:19" ht="31.2" x14ac:dyDescent="0.25">
      <c r="A1359" s="94"/>
      <c r="B1359" s="1" t="s">
        <v>123</v>
      </c>
      <c r="C1359" s="2">
        <v>942</v>
      </c>
      <c r="D1359" s="37" t="s">
        <v>6</v>
      </c>
      <c r="E1359" s="37" t="s">
        <v>24</v>
      </c>
      <c r="F1359" s="37" t="s">
        <v>23</v>
      </c>
      <c r="G1359" s="38">
        <v>2</v>
      </c>
      <c r="H1359" s="37" t="s">
        <v>2</v>
      </c>
      <c r="I1359" s="37" t="s">
        <v>640</v>
      </c>
      <c r="J1359" s="37" t="s">
        <v>49</v>
      </c>
      <c r="K1359" s="6">
        <v>12000</v>
      </c>
    </row>
    <row r="1360" spans="1:19" x14ac:dyDescent="0.25">
      <c r="A1360" s="94"/>
      <c r="B1360" s="3" t="s">
        <v>645</v>
      </c>
      <c r="C1360" s="2">
        <v>942</v>
      </c>
      <c r="D1360" s="37" t="s">
        <v>6</v>
      </c>
      <c r="E1360" s="37" t="s">
        <v>24</v>
      </c>
      <c r="F1360" s="37" t="s">
        <v>23</v>
      </c>
      <c r="G1360" s="38">
        <v>2</v>
      </c>
      <c r="H1360" s="37" t="s">
        <v>2</v>
      </c>
      <c r="I1360" s="37" t="s">
        <v>641</v>
      </c>
      <c r="J1360" s="37"/>
      <c r="K1360" s="6">
        <f>K1361</f>
        <v>826.8</v>
      </c>
    </row>
    <row r="1361" spans="1:19" ht="31.2" x14ac:dyDescent="0.25">
      <c r="A1361" s="94"/>
      <c r="B1361" s="1" t="s">
        <v>123</v>
      </c>
      <c r="C1361" s="2">
        <v>942</v>
      </c>
      <c r="D1361" s="37" t="s">
        <v>6</v>
      </c>
      <c r="E1361" s="37" t="s">
        <v>24</v>
      </c>
      <c r="F1361" s="37" t="s">
        <v>23</v>
      </c>
      <c r="G1361" s="38">
        <v>2</v>
      </c>
      <c r="H1361" s="37" t="s">
        <v>2</v>
      </c>
      <c r="I1361" s="37" t="s">
        <v>641</v>
      </c>
      <c r="J1361" s="37" t="s">
        <v>49</v>
      </c>
      <c r="K1361" s="6">
        <v>826.8</v>
      </c>
    </row>
    <row r="1362" spans="1:19" ht="31.2" x14ac:dyDescent="0.25">
      <c r="A1362" s="94"/>
      <c r="B1362" s="1" t="s">
        <v>653</v>
      </c>
      <c r="C1362" s="2">
        <v>942</v>
      </c>
      <c r="D1362" s="37" t="s">
        <v>6</v>
      </c>
      <c r="E1362" s="37" t="s">
        <v>24</v>
      </c>
      <c r="F1362" s="37" t="s">
        <v>23</v>
      </c>
      <c r="G1362" s="38">
        <v>2</v>
      </c>
      <c r="H1362" s="37" t="s">
        <v>2</v>
      </c>
      <c r="I1362" s="37" t="s">
        <v>651</v>
      </c>
      <c r="J1362" s="37"/>
      <c r="K1362" s="6">
        <f>K1363</f>
        <v>78567.099999999991</v>
      </c>
    </row>
    <row r="1363" spans="1:19" ht="31.2" x14ac:dyDescent="0.25">
      <c r="A1363" s="94"/>
      <c r="B1363" s="1" t="s">
        <v>75</v>
      </c>
      <c r="C1363" s="2">
        <v>942</v>
      </c>
      <c r="D1363" s="37" t="s">
        <v>6</v>
      </c>
      <c r="E1363" s="37" t="s">
        <v>24</v>
      </c>
      <c r="F1363" s="37" t="s">
        <v>23</v>
      </c>
      <c r="G1363" s="38">
        <v>2</v>
      </c>
      <c r="H1363" s="37" t="s">
        <v>2</v>
      </c>
      <c r="I1363" s="37" t="s">
        <v>651</v>
      </c>
      <c r="J1363" s="37" t="s">
        <v>54</v>
      </c>
      <c r="K1363" s="6">
        <f>64424.9+9323.3+4818.9</f>
        <v>78567.099999999991</v>
      </c>
    </row>
    <row r="1364" spans="1:19" ht="31.2" x14ac:dyDescent="0.25">
      <c r="A1364" s="94"/>
      <c r="B1364" s="1" t="s">
        <v>654</v>
      </c>
      <c r="C1364" s="2">
        <v>942</v>
      </c>
      <c r="D1364" s="37" t="s">
        <v>6</v>
      </c>
      <c r="E1364" s="37" t="s">
        <v>24</v>
      </c>
      <c r="F1364" s="37" t="s">
        <v>23</v>
      </c>
      <c r="G1364" s="38">
        <v>2</v>
      </c>
      <c r="H1364" s="37" t="s">
        <v>2</v>
      </c>
      <c r="I1364" s="37" t="s">
        <v>652</v>
      </c>
      <c r="J1364" s="37"/>
      <c r="K1364" s="6">
        <f>K1365</f>
        <v>1673.5</v>
      </c>
    </row>
    <row r="1365" spans="1:19" ht="31.2" x14ac:dyDescent="0.25">
      <c r="A1365" s="94"/>
      <c r="B1365" s="1" t="s">
        <v>75</v>
      </c>
      <c r="C1365" s="2">
        <v>942</v>
      </c>
      <c r="D1365" s="37" t="s">
        <v>6</v>
      </c>
      <c r="E1365" s="37" t="s">
        <v>24</v>
      </c>
      <c r="F1365" s="37" t="s">
        <v>23</v>
      </c>
      <c r="G1365" s="38">
        <v>2</v>
      </c>
      <c r="H1365" s="37" t="s">
        <v>2</v>
      </c>
      <c r="I1365" s="37" t="s">
        <v>652</v>
      </c>
      <c r="J1365" s="37" t="s">
        <v>54</v>
      </c>
      <c r="K1365" s="6">
        <v>1673.5</v>
      </c>
    </row>
    <row r="1366" spans="1:19" x14ac:dyDescent="0.25">
      <c r="A1366" s="94"/>
      <c r="B1366" s="1" t="s">
        <v>41</v>
      </c>
      <c r="C1366" s="2">
        <v>942</v>
      </c>
      <c r="D1366" s="37" t="s">
        <v>7</v>
      </c>
      <c r="E1366" s="37"/>
      <c r="F1366" s="37"/>
      <c r="G1366" s="38"/>
      <c r="H1366" s="37"/>
      <c r="I1366" s="37"/>
      <c r="J1366" s="37"/>
      <c r="K1366" s="6">
        <f>SUM(K1367)</f>
        <v>0</v>
      </c>
    </row>
    <row r="1367" spans="1:19" x14ac:dyDescent="0.25">
      <c r="A1367" s="94"/>
      <c r="B1367" s="1" t="s">
        <v>474</v>
      </c>
      <c r="C1367" s="2">
        <v>942</v>
      </c>
      <c r="D1367" s="37" t="s">
        <v>7</v>
      </c>
      <c r="E1367" s="37" t="s">
        <v>5</v>
      </c>
      <c r="F1367" s="37"/>
      <c r="G1367" s="38"/>
      <c r="H1367" s="37"/>
      <c r="I1367" s="37"/>
      <c r="J1367" s="37"/>
      <c r="K1367" s="6">
        <f>SUM(K1368)</f>
        <v>0</v>
      </c>
    </row>
    <row r="1368" spans="1:19" ht="31.2" x14ac:dyDescent="0.25">
      <c r="A1368" s="94"/>
      <c r="B1368" s="1" t="s">
        <v>273</v>
      </c>
      <c r="C1368" s="2">
        <v>942</v>
      </c>
      <c r="D1368" s="37" t="s">
        <v>7</v>
      </c>
      <c r="E1368" s="37" t="s">
        <v>5</v>
      </c>
      <c r="F1368" s="37" t="s">
        <v>23</v>
      </c>
      <c r="G1368" s="38"/>
      <c r="H1368" s="37"/>
      <c r="I1368" s="37"/>
      <c r="J1368" s="37"/>
      <c r="K1368" s="6">
        <f>SUM(K1369)</f>
        <v>0</v>
      </c>
    </row>
    <row r="1369" spans="1:19" ht="46.8" x14ac:dyDescent="0.25">
      <c r="A1369" s="94"/>
      <c r="B1369" s="1" t="s">
        <v>467</v>
      </c>
      <c r="C1369" s="2">
        <v>942</v>
      </c>
      <c r="D1369" s="37" t="s">
        <v>7</v>
      </c>
      <c r="E1369" s="37" t="s">
        <v>5</v>
      </c>
      <c r="F1369" s="37" t="s">
        <v>23</v>
      </c>
      <c r="G1369" s="38">
        <v>2</v>
      </c>
      <c r="H1369" s="37"/>
      <c r="I1369" s="37"/>
      <c r="J1369" s="37"/>
      <c r="K1369" s="6">
        <f>SUM(K1370)</f>
        <v>0</v>
      </c>
    </row>
    <row r="1370" spans="1:19" x14ac:dyDescent="0.25">
      <c r="A1370" s="94"/>
      <c r="B1370" s="1" t="s">
        <v>469</v>
      </c>
      <c r="C1370" s="2">
        <v>942</v>
      </c>
      <c r="D1370" s="37" t="s">
        <v>7</v>
      </c>
      <c r="E1370" s="37" t="s">
        <v>5</v>
      </c>
      <c r="F1370" s="37" t="s">
        <v>23</v>
      </c>
      <c r="G1370" s="38">
        <v>2</v>
      </c>
      <c r="H1370" s="37" t="s">
        <v>2</v>
      </c>
      <c r="I1370" s="37"/>
      <c r="J1370" s="37"/>
      <c r="K1370" s="6">
        <f>SUM(K1371)</f>
        <v>0</v>
      </c>
    </row>
    <row r="1371" spans="1:19" x14ac:dyDescent="0.25">
      <c r="A1371" s="94"/>
      <c r="B1371" s="1" t="s">
        <v>483</v>
      </c>
      <c r="C1371" s="2">
        <v>942</v>
      </c>
      <c r="D1371" s="37" t="s">
        <v>7</v>
      </c>
      <c r="E1371" s="37" t="s">
        <v>5</v>
      </c>
      <c r="F1371" s="37" t="s">
        <v>23</v>
      </c>
      <c r="G1371" s="38">
        <v>2</v>
      </c>
      <c r="H1371" s="37" t="s">
        <v>2</v>
      </c>
      <c r="I1371" s="37" t="s">
        <v>482</v>
      </c>
      <c r="J1371" s="37"/>
      <c r="K1371" s="6">
        <f>K1372</f>
        <v>0</v>
      </c>
    </row>
    <row r="1372" spans="1:19" ht="31.2" x14ac:dyDescent="0.25">
      <c r="A1372" s="94"/>
      <c r="B1372" s="43" t="s">
        <v>121</v>
      </c>
      <c r="C1372" s="2">
        <v>942</v>
      </c>
      <c r="D1372" s="37" t="s">
        <v>7</v>
      </c>
      <c r="E1372" s="37" t="s">
        <v>5</v>
      </c>
      <c r="F1372" s="37" t="s">
        <v>23</v>
      </c>
      <c r="G1372" s="38">
        <v>2</v>
      </c>
      <c r="H1372" s="37" t="s">
        <v>2</v>
      </c>
      <c r="I1372" s="37" t="s">
        <v>482</v>
      </c>
      <c r="J1372" s="37" t="s">
        <v>59</v>
      </c>
      <c r="K1372" s="6">
        <f>2971.4+217.9-3189.3</f>
        <v>0</v>
      </c>
    </row>
    <row r="1373" spans="1:19" s="50" customFormat="1" x14ac:dyDescent="0.25">
      <c r="A1373" s="94"/>
      <c r="B1373" s="1" t="s">
        <v>18</v>
      </c>
      <c r="C1373" s="2">
        <v>942</v>
      </c>
      <c r="D1373" s="37" t="s">
        <v>8</v>
      </c>
      <c r="E1373" s="37"/>
      <c r="F1373" s="37"/>
      <c r="G1373" s="38"/>
      <c r="H1373" s="37"/>
      <c r="I1373" s="37"/>
      <c r="J1373" s="37"/>
      <c r="K1373" s="6">
        <f>SUM(K1374)</f>
        <v>25.1</v>
      </c>
      <c r="L1373" s="15"/>
      <c r="M1373" s="15"/>
      <c r="N1373" s="15"/>
      <c r="O1373" s="15"/>
      <c r="P1373" s="15"/>
      <c r="Q1373" s="15"/>
      <c r="R1373" s="15"/>
      <c r="S1373" s="15"/>
    </row>
    <row r="1374" spans="1:19" s="50" customFormat="1" ht="18.75" customHeight="1" x14ac:dyDescent="0.25">
      <c r="A1374" s="94"/>
      <c r="B1374" s="1" t="s">
        <v>235</v>
      </c>
      <c r="C1374" s="2">
        <v>942</v>
      </c>
      <c r="D1374" s="37" t="s">
        <v>8</v>
      </c>
      <c r="E1374" s="37" t="s">
        <v>7</v>
      </c>
      <c r="F1374" s="37"/>
      <c r="G1374" s="38"/>
      <c r="H1374" s="37"/>
      <c r="I1374" s="37"/>
      <c r="J1374" s="37"/>
      <c r="K1374" s="6">
        <f>SUM(K1375)</f>
        <v>25.1</v>
      </c>
      <c r="L1374" s="15"/>
      <c r="M1374" s="15"/>
      <c r="N1374" s="15"/>
      <c r="O1374" s="15"/>
      <c r="P1374" s="15"/>
      <c r="Q1374" s="15"/>
      <c r="R1374" s="15"/>
      <c r="S1374" s="15"/>
    </row>
    <row r="1375" spans="1:19" s="50" customFormat="1" ht="31.2" x14ac:dyDescent="0.25">
      <c r="A1375" s="94"/>
      <c r="B1375" s="1" t="s">
        <v>273</v>
      </c>
      <c r="C1375" s="2">
        <v>942</v>
      </c>
      <c r="D1375" s="37" t="s">
        <v>8</v>
      </c>
      <c r="E1375" s="37" t="s">
        <v>7</v>
      </c>
      <c r="F1375" s="37" t="s">
        <v>23</v>
      </c>
      <c r="G1375" s="38"/>
      <c r="H1375" s="37"/>
      <c r="I1375" s="37"/>
      <c r="J1375" s="37"/>
      <c r="K1375" s="6">
        <f>SUM(K1376)</f>
        <v>25.1</v>
      </c>
      <c r="L1375" s="15"/>
      <c r="M1375" s="15"/>
      <c r="N1375" s="15"/>
      <c r="O1375" s="15"/>
      <c r="P1375" s="15"/>
      <c r="Q1375" s="15"/>
      <c r="R1375" s="15"/>
      <c r="S1375" s="15"/>
    </row>
    <row r="1376" spans="1:19" s="50" customFormat="1" ht="31.2" x14ac:dyDescent="0.25">
      <c r="A1376" s="94"/>
      <c r="B1376" s="1" t="s">
        <v>511</v>
      </c>
      <c r="C1376" s="2">
        <v>942</v>
      </c>
      <c r="D1376" s="37" t="s">
        <v>8</v>
      </c>
      <c r="E1376" s="37" t="s">
        <v>7</v>
      </c>
      <c r="F1376" s="37" t="s">
        <v>23</v>
      </c>
      <c r="G1376" s="38">
        <v>1</v>
      </c>
      <c r="H1376" s="37"/>
      <c r="I1376" s="37"/>
      <c r="J1376" s="37"/>
      <c r="K1376" s="6">
        <f>SUM(K1377)</f>
        <v>25.1</v>
      </c>
      <c r="L1376" s="15"/>
      <c r="M1376" s="15"/>
      <c r="N1376" s="15"/>
      <c r="O1376" s="15"/>
      <c r="P1376" s="15"/>
      <c r="Q1376" s="15"/>
      <c r="R1376" s="15"/>
      <c r="S1376" s="15"/>
    </row>
    <row r="1377" spans="1:19" s="50" customFormat="1" ht="62.4" x14ac:dyDescent="0.25">
      <c r="A1377" s="94"/>
      <c r="B1377" s="1" t="s">
        <v>468</v>
      </c>
      <c r="C1377" s="2">
        <v>942</v>
      </c>
      <c r="D1377" s="37" t="s">
        <v>8</v>
      </c>
      <c r="E1377" s="37" t="s">
        <v>7</v>
      </c>
      <c r="F1377" s="37" t="s">
        <v>23</v>
      </c>
      <c r="G1377" s="38">
        <v>1</v>
      </c>
      <c r="H1377" s="37" t="s">
        <v>2</v>
      </c>
      <c r="I1377" s="37"/>
      <c r="J1377" s="37"/>
      <c r="K1377" s="6">
        <f>SUM(K1378)</f>
        <v>25.1</v>
      </c>
      <c r="L1377" s="15"/>
      <c r="M1377" s="15"/>
      <c r="N1377" s="15"/>
      <c r="O1377" s="15"/>
      <c r="P1377" s="15"/>
      <c r="Q1377" s="15"/>
      <c r="R1377" s="15"/>
      <c r="S1377" s="15"/>
    </row>
    <row r="1378" spans="1:19" s="50" customFormat="1" x14ac:dyDescent="0.25">
      <c r="A1378" s="94"/>
      <c r="B1378" s="1" t="s">
        <v>237</v>
      </c>
      <c r="C1378" s="2">
        <v>942</v>
      </c>
      <c r="D1378" s="37" t="s">
        <v>8</v>
      </c>
      <c r="E1378" s="37" t="s">
        <v>7</v>
      </c>
      <c r="F1378" s="37" t="s">
        <v>23</v>
      </c>
      <c r="G1378" s="38">
        <v>1</v>
      </c>
      <c r="H1378" s="37" t="s">
        <v>2</v>
      </c>
      <c r="I1378" s="37" t="s">
        <v>236</v>
      </c>
      <c r="J1378" s="37"/>
      <c r="K1378" s="6">
        <f>K1379</f>
        <v>25.1</v>
      </c>
      <c r="L1378" s="15"/>
      <c r="M1378" s="15"/>
      <c r="N1378" s="15"/>
      <c r="O1378" s="15"/>
      <c r="P1378" s="15"/>
      <c r="Q1378" s="15"/>
      <c r="R1378" s="15"/>
      <c r="S1378" s="15"/>
    </row>
    <row r="1379" spans="1:19" ht="31.2" x14ac:dyDescent="0.25">
      <c r="A1379" s="94"/>
      <c r="B1379" s="1" t="s">
        <v>123</v>
      </c>
      <c r="C1379" s="2">
        <v>942</v>
      </c>
      <c r="D1379" s="37" t="s">
        <v>8</v>
      </c>
      <c r="E1379" s="37" t="s">
        <v>7</v>
      </c>
      <c r="F1379" s="37" t="s">
        <v>23</v>
      </c>
      <c r="G1379" s="38">
        <v>1</v>
      </c>
      <c r="H1379" s="37" t="s">
        <v>2</v>
      </c>
      <c r="I1379" s="37" t="s">
        <v>236</v>
      </c>
      <c r="J1379" s="37" t="s">
        <v>49</v>
      </c>
      <c r="K1379" s="6">
        <v>25.1</v>
      </c>
    </row>
    <row r="1380" spans="1:19" ht="31.2" x14ac:dyDescent="0.25">
      <c r="A1380" s="94" t="s">
        <v>10</v>
      </c>
      <c r="B1380" s="1" t="s">
        <v>408</v>
      </c>
      <c r="C1380" s="39" t="s">
        <v>126</v>
      </c>
      <c r="D1380" s="37"/>
      <c r="E1380" s="37"/>
      <c r="F1380" s="37"/>
      <c r="G1380" s="37"/>
      <c r="H1380" s="37"/>
      <c r="I1380" s="37"/>
      <c r="J1380" s="37"/>
      <c r="K1380" s="6">
        <f>SUM(K1381+K1408+K1424+K1415)</f>
        <v>42161.9</v>
      </c>
    </row>
    <row r="1381" spans="1:19" x14ac:dyDescent="0.25">
      <c r="A1381" s="94"/>
      <c r="B1381" s="1" t="s">
        <v>1</v>
      </c>
      <c r="C1381" s="39" t="s">
        <v>126</v>
      </c>
      <c r="D1381" s="37" t="s">
        <v>2</v>
      </c>
      <c r="E1381" s="37"/>
      <c r="F1381" s="37"/>
      <c r="G1381" s="37"/>
      <c r="H1381" s="37"/>
      <c r="I1381" s="37"/>
      <c r="J1381" s="37"/>
      <c r="K1381" s="6">
        <f t="shared" ref="K1381:K1383" si="57">SUM(K1382)</f>
        <v>23145.9</v>
      </c>
    </row>
    <row r="1382" spans="1:19" x14ac:dyDescent="0.25">
      <c r="A1382" s="94"/>
      <c r="B1382" s="1" t="s">
        <v>9</v>
      </c>
      <c r="C1382" s="39" t="s">
        <v>126</v>
      </c>
      <c r="D1382" s="37" t="s">
        <v>2</v>
      </c>
      <c r="E1382" s="37" t="s">
        <v>40</v>
      </c>
      <c r="F1382" s="37"/>
      <c r="G1382" s="37"/>
      <c r="H1382" s="37"/>
      <c r="I1382" s="37"/>
      <c r="J1382" s="37"/>
      <c r="K1382" s="6">
        <f>SUM(K1383)</f>
        <v>23145.9</v>
      </c>
    </row>
    <row r="1383" spans="1:19" ht="31.2" x14ac:dyDescent="0.25">
      <c r="A1383" s="94"/>
      <c r="B1383" s="1" t="s">
        <v>348</v>
      </c>
      <c r="C1383" s="39" t="s">
        <v>126</v>
      </c>
      <c r="D1383" s="37" t="s">
        <v>2</v>
      </c>
      <c r="E1383" s="37" t="s">
        <v>40</v>
      </c>
      <c r="F1383" s="37" t="s">
        <v>128</v>
      </c>
      <c r="G1383" s="37"/>
      <c r="H1383" s="37"/>
      <c r="I1383" s="37"/>
      <c r="J1383" s="37"/>
      <c r="K1383" s="6">
        <f t="shared" si="57"/>
        <v>23145.9</v>
      </c>
    </row>
    <row r="1384" spans="1:19" ht="31.2" x14ac:dyDescent="0.25">
      <c r="A1384" s="94"/>
      <c r="B1384" s="1" t="s">
        <v>349</v>
      </c>
      <c r="C1384" s="39" t="s">
        <v>126</v>
      </c>
      <c r="D1384" s="37" t="s">
        <v>2</v>
      </c>
      <c r="E1384" s="37" t="s">
        <v>40</v>
      </c>
      <c r="F1384" s="37" t="s">
        <v>128</v>
      </c>
      <c r="G1384" s="37" t="s">
        <v>90</v>
      </c>
      <c r="H1384" s="37"/>
      <c r="I1384" s="37"/>
      <c r="J1384" s="37"/>
      <c r="K1384" s="6">
        <f>SUM(K1385+K1395+K1398+K1401+K1405)</f>
        <v>23145.9</v>
      </c>
    </row>
    <row r="1385" spans="1:19" ht="46.8" x14ac:dyDescent="0.25">
      <c r="A1385" s="94"/>
      <c r="B1385" s="1" t="s">
        <v>409</v>
      </c>
      <c r="C1385" s="39" t="s">
        <v>126</v>
      </c>
      <c r="D1385" s="37" t="s">
        <v>2</v>
      </c>
      <c r="E1385" s="37" t="s">
        <v>40</v>
      </c>
      <c r="F1385" s="37" t="s">
        <v>128</v>
      </c>
      <c r="G1385" s="37" t="s">
        <v>90</v>
      </c>
      <c r="H1385" s="37" t="s">
        <v>2</v>
      </c>
      <c r="I1385" s="37"/>
      <c r="J1385" s="37"/>
      <c r="K1385" s="6">
        <f>SUM(K1386+K1391+K1393)</f>
        <v>10981.800000000001</v>
      </c>
    </row>
    <row r="1386" spans="1:19" x14ac:dyDescent="0.25">
      <c r="A1386" s="94"/>
      <c r="B1386" s="1" t="s">
        <v>47</v>
      </c>
      <c r="C1386" s="39" t="s">
        <v>126</v>
      </c>
      <c r="D1386" s="37" t="s">
        <v>2</v>
      </c>
      <c r="E1386" s="37" t="s">
        <v>40</v>
      </c>
      <c r="F1386" s="37" t="s">
        <v>128</v>
      </c>
      <c r="G1386" s="37" t="s">
        <v>90</v>
      </c>
      <c r="H1386" s="37" t="s">
        <v>2</v>
      </c>
      <c r="I1386" s="37" t="s">
        <v>78</v>
      </c>
      <c r="J1386" s="37"/>
      <c r="K1386" s="6">
        <f>SUM(K1387:K1390)</f>
        <v>10625.1</v>
      </c>
    </row>
    <row r="1387" spans="1:19" ht="52.5" customHeight="1" x14ac:dyDescent="0.25">
      <c r="A1387" s="94"/>
      <c r="B1387" s="1" t="s">
        <v>122</v>
      </c>
      <c r="C1387" s="39" t="s">
        <v>126</v>
      </c>
      <c r="D1387" s="37" t="s">
        <v>2</v>
      </c>
      <c r="E1387" s="37" t="s">
        <v>40</v>
      </c>
      <c r="F1387" s="37" t="s">
        <v>128</v>
      </c>
      <c r="G1387" s="37" t="s">
        <v>90</v>
      </c>
      <c r="H1387" s="37" t="s">
        <v>2</v>
      </c>
      <c r="I1387" s="37" t="s">
        <v>78</v>
      </c>
      <c r="J1387" s="37" t="s">
        <v>48</v>
      </c>
      <c r="K1387" s="6">
        <f>10329.7-38.5</f>
        <v>10291.200000000001</v>
      </c>
    </row>
    <row r="1388" spans="1:19" ht="31.2" x14ac:dyDescent="0.25">
      <c r="A1388" s="94"/>
      <c r="B1388" s="1" t="s">
        <v>123</v>
      </c>
      <c r="C1388" s="39" t="s">
        <v>126</v>
      </c>
      <c r="D1388" s="37" t="s">
        <v>2</v>
      </c>
      <c r="E1388" s="37" t="s">
        <v>40</v>
      </c>
      <c r="F1388" s="37" t="s">
        <v>128</v>
      </c>
      <c r="G1388" s="37" t="s">
        <v>90</v>
      </c>
      <c r="H1388" s="37" t="s">
        <v>2</v>
      </c>
      <c r="I1388" s="37" t="s">
        <v>78</v>
      </c>
      <c r="J1388" s="37" t="s">
        <v>49</v>
      </c>
      <c r="K1388" s="6">
        <f>11460.7-10337.7+2.3+38.5-837.8-0.1</f>
        <v>325.89999999999998</v>
      </c>
    </row>
    <row r="1389" spans="1:19" x14ac:dyDescent="0.25">
      <c r="A1389" s="94"/>
      <c r="B1389" s="1" t="s">
        <v>55</v>
      </c>
      <c r="C1389" s="39" t="s">
        <v>126</v>
      </c>
      <c r="D1389" s="37" t="s">
        <v>2</v>
      </c>
      <c r="E1389" s="37" t="s">
        <v>40</v>
      </c>
      <c r="F1389" s="37" t="s">
        <v>128</v>
      </c>
      <c r="G1389" s="37" t="s">
        <v>90</v>
      </c>
      <c r="H1389" s="37" t="s">
        <v>2</v>
      </c>
      <c r="I1389" s="37" t="s">
        <v>78</v>
      </c>
      <c r="J1389" s="37" t="s">
        <v>56</v>
      </c>
      <c r="K1389" s="6"/>
    </row>
    <row r="1390" spans="1:19" x14ac:dyDescent="0.25">
      <c r="A1390" s="94"/>
      <c r="B1390" s="1" t="s">
        <v>50</v>
      </c>
      <c r="C1390" s="39" t="s">
        <v>126</v>
      </c>
      <c r="D1390" s="37" t="s">
        <v>2</v>
      </c>
      <c r="E1390" s="37" t="s">
        <v>40</v>
      </c>
      <c r="F1390" s="37" t="s">
        <v>128</v>
      </c>
      <c r="G1390" s="37" t="s">
        <v>90</v>
      </c>
      <c r="H1390" s="37" t="s">
        <v>2</v>
      </c>
      <c r="I1390" s="37" t="s">
        <v>78</v>
      </c>
      <c r="J1390" s="37" t="s">
        <v>51</v>
      </c>
      <c r="K1390" s="6">
        <v>8</v>
      </c>
    </row>
    <row r="1391" spans="1:19" s="50" customFormat="1" x14ac:dyDescent="0.25">
      <c r="A1391" s="94"/>
      <c r="B1391" s="1" t="s">
        <v>234</v>
      </c>
      <c r="C1391" s="2">
        <v>947</v>
      </c>
      <c r="D1391" s="37" t="s">
        <v>2</v>
      </c>
      <c r="E1391" s="37" t="s">
        <v>40</v>
      </c>
      <c r="F1391" s="37" t="s">
        <v>128</v>
      </c>
      <c r="G1391" s="38">
        <v>1</v>
      </c>
      <c r="H1391" s="37" t="s">
        <v>2</v>
      </c>
      <c r="I1391" s="37" t="s">
        <v>233</v>
      </c>
      <c r="J1391" s="37"/>
      <c r="K1391" s="6">
        <f>SUM(K1392)</f>
        <v>26.7</v>
      </c>
      <c r="L1391" s="15"/>
      <c r="M1391" s="15"/>
      <c r="N1391" s="15"/>
      <c r="O1391" s="15"/>
      <c r="P1391" s="15"/>
      <c r="Q1391" s="15"/>
      <c r="R1391" s="15"/>
      <c r="S1391" s="15"/>
    </row>
    <row r="1392" spans="1:19" s="50" customFormat="1" ht="31.2" x14ac:dyDescent="0.25">
      <c r="A1392" s="94"/>
      <c r="B1392" s="1" t="s">
        <v>123</v>
      </c>
      <c r="C1392" s="2">
        <v>947</v>
      </c>
      <c r="D1392" s="37" t="s">
        <v>2</v>
      </c>
      <c r="E1392" s="37" t="s">
        <v>40</v>
      </c>
      <c r="F1392" s="37" t="s">
        <v>128</v>
      </c>
      <c r="G1392" s="38">
        <v>1</v>
      </c>
      <c r="H1392" s="37" t="s">
        <v>2</v>
      </c>
      <c r="I1392" s="37" t="s">
        <v>233</v>
      </c>
      <c r="J1392" s="37" t="s">
        <v>49</v>
      </c>
      <c r="K1392" s="6">
        <v>26.7</v>
      </c>
      <c r="L1392" s="15"/>
      <c r="M1392" s="15"/>
      <c r="N1392" s="15"/>
      <c r="O1392" s="15"/>
      <c r="P1392" s="15"/>
      <c r="Q1392" s="15"/>
      <c r="R1392" s="15"/>
      <c r="S1392" s="15"/>
    </row>
    <row r="1393" spans="1:19" s="50" customFormat="1" ht="31.2" x14ac:dyDescent="0.25">
      <c r="A1393" s="94"/>
      <c r="B1393" s="1" t="s">
        <v>238</v>
      </c>
      <c r="C1393" s="2">
        <v>947</v>
      </c>
      <c r="D1393" s="37" t="s">
        <v>2</v>
      </c>
      <c r="E1393" s="37" t="s">
        <v>40</v>
      </c>
      <c r="F1393" s="37" t="s">
        <v>128</v>
      </c>
      <c r="G1393" s="38">
        <v>1</v>
      </c>
      <c r="H1393" s="37" t="s">
        <v>2</v>
      </c>
      <c r="I1393" s="37" t="s">
        <v>239</v>
      </c>
      <c r="J1393" s="37"/>
      <c r="K1393" s="6">
        <f>SUM(K1394)</f>
        <v>330</v>
      </c>
      <c r="L1393" s="15"/>
      <c r="M1393" s="15"/>
      <c r="N1393" s="15"/>
      <c r="O1393" s="15"/>
      <c r="P1393" s="15"/>
      <c r="Q1393" s="15"/>
      <c r="R1393" s="15"/>
      <c r="S1393" s="15"/>
    </row>
    <row r="1394" spans="1:19" s="50" customFormat="1" ht="31.2" x14ac:dyDescent="0.25">
      <c r="A1394" s="94"/>
      <c r="B1394" s="1" t="s">
        <v>123</v>
      </c>
      <c r="C1394" s="2">
        <v>947</v>
      </c>
      <c r="D1394" s="37" t="s">
        <v>2</v>
      </c>
      <c r="E1394" s="37" t="s">
        <v>40</v>
      </c>
      <c r="F1394" s="37" t="s">
        <v>128</v>
      </c>
      <c r="G1394" s="38">
        <v>1</v>
      </c>
      <c r="H1394" s="37" t="s">
        <v>2</v>
      </c>
      <c r="I1394" s="37" t="s">
        <v>239</v>
      </c>
      <c r="J1394" s="37" t="s">
        <v>49</v>
      </c>
      <c r="K1394" s="6">
        <v>330</v>
      </c>
      <c r="L1394" s="15"/>
      <c r="M1394" s="15"/>
      <c r="N1394" s="15"/>
      <c r="O1394" s="15"/>
      <c r="P1394" s="15"/>
      <c r="Q1394" s="15"/>
      <c r="R1394" s="15"/>
      <c r="S1394" s="15"/>
    </row>
    <row r="1395" spans="1:19" s="50" customFormat="1" ht="46.8" x14ac:dyDescent="0.25">
      <c r="A1395" s="94"/>
      <c r="B1395" s="1" t="s">
        <v>528</v>
      </c>
      <c r="C1395" s="39" t="s">
        <v>126</v>
      </c>
      <c r="D1395" s="37" t="s">
        <v>2</v>
      </c>
      <c r="E1395" s="37" t="s">
        <v>40</v>
      </c>
      <c r="F1395" s="37" t="s">
        <v>128</v>
      </c>
      <c r="G1395" s="37" t="s">
        <v>90</v>
      </c>
      <c r="H1395" s="37" t="s">
        <v>4</v>
      </c>
      <c r="I1395" s="37"/>
      <c r="J1395" s="37"/>
      <c r="K1395" s="6">
        <f t="shared" ref="K1395:K1396" si="58">K1396</f>
        <v>9822.5999999999985</v>
      </c>
      <c r="L1395" s="15"/>
      <c r="M1395" s="15"/>
      <c r="N1395" s="15"/>
      <c r="O1395" s="15"/>
      <c r="P1395" s="15"/>
      <c r="Q1395" s="15"/>
      <c r="R1395" s="15"/>
      <c r="S1395" s="15"/>
    </row>
    <row r="1396" spans="1:19" s="50" customFormat="1" ht="46.8" x14ac:dyDescent="0.25">
      <c r="A1396" s="94"/>
      <c r="B1396" s="1" t="s">
        <v>66</v>
      </c>
      <c r="C1396" s="39" t="s">
        <v>126</v>
      </c>
      <c r="D1396" s="37" t="s">
        <v>2</v>
      </c>
      <c r="E1396" s="37" t="s">
        <v>40</v>
      </c>
      <c r="F1396" s="37" t="s">
        <v>128</v>
      </c>
      <c r="G1396" s="37" t="s">
        <v>90</v>
      </c>
      <c r="H1396" s="37" t="s">
        <v>4</v>
      </c>
      <c r="I1396" s="37" t="s">
        <v>85</v>
      </c>
      <c r="J1396" s="37"/>
      <c r="K1396" s="6">
        <f t="shared" si="58"/>
        <v>9822.5999999999985</v>
      </c>
      <c r="L1396" s="15"/>
      <c r="M1396" s="15"/>
      <c r="N1396" s="15"/>
      <c r="O1396" s="15"/>
      <c r="P1396" s="15"/>
      <c r="Q1396" s="15"/>
      <c r="R1396" s="15"/>
      <c r="S1396" s="15"/>
    </row>
    <row r="1397" spans="1:19" s="50" customFormat="1" ht="31.2" x14ac:dyDescent="0.25">
      <c r="A1397" s="94"/>
      <c r="B1397" s="43" t="s">
        <v>121</v>
      </c>
      <c r="C1397" s="39" t="s">
        <v>126</v>
      </c>
      <c r="D1397" s="37" t="s">
        <v>2</v>
      </c>
      <c r="E1397" s="37" t="s">
        <v>40</v>
      </c>
      <c r="F1397" s="37" t="s">
        <v>128</v>
      </c>
      <c r="G1397" s="37" t="s">
        <v>90</v>
      </c>
      <c r="H1397" s="37" t="s">
        <v>4</v>
      </c>
      <c r="I1397" s="37" t="s">
        <v>85</v>
      </c>
      <c r="J1397" s="37" t="s">
        <v>59</v>
      </c>
      <c r="K1397" s="6">
        <f>6059.9+3762.7</f>
        <v>9822.5999999999985</v>
      </c>
      <c r="L1397" s="15"/>
      <c r="M1397" s="15"/>
      <c r="N1397" s="15"/>
      <c r="O1397" s="15"/>
      <c r="P1397" s="15"/>
      <c r="Q1397" s="15"/>
      <c r="R1397" s="15"/>
      <c r="S1397" s="15"/>
    </row>
    <row r="1398" spans="1:19" s="50" customFormat="1" ht="31.2" x14ac:dyDescent="0.25">
      <c r="A1398" s="94"/>
      <c r="B1398" s="1" t="s">
        <v>517</v>
      </c>
      <c r="C1398" s="39" t="s">
        <v>126</v>
      </c>
      <c r="D1398" s="37" t="s">
        <v>2</v>
      </c>
      <c r="E1398" s="37" t="s">
        <v>40</v>
      </c>
      <c r="F1398" s="37" t="s">
        <v>128</v>
      </c>
      <c r="G1398" s="37" t="s">
        <v>90</v>
      </c>
      <c r="H1398" s="37" t="s">
        <v>5</v>
      </c>
      <c r="I1398" s="37"/>
      <c r="J1398" s="37"/>
      <c r="K1398" s="6">
        <f t="shared" ref="K1398:K1399" si="59">SUM(K1399)</f>
        <v>1432.8</v>
      </c>
      <c r="L1398" s="15"/>
      <c r="M1398" s="15"/>
      <c r="N1398" s="15"/>
      <c r="O1398" s="15"/>
      <c r="P1398" s="15"/>
      <c r="Q1398" s="15"/>
      <c r="R1398" s="15"/>
      <c r="S1398" s="15"/>
    </row>
    <row r="1399" spans="1:19" s="50" customFormat="1" ht="46.8" x14ac:dyDescent="0.25">
      <c r="A1399" s="94"/>
      <c r="B1399" s="1" t="s">
        <v>410</v>
      </c>
      <c r="C1399" s="39" t="s">
        <v>126</v>
      </c>
      <c r="D1399" s="37" t="s">
        <v>2</v>
      </c>
      <c r="E1399" s="37" t="s">
        <v>40</v>
      </c>
      <c r="F1399" s="37" t="s">
        <v>128</v>
      </c>
      <c r="G1399" s="37" t="s">
        <v>90</v>
      </c>
      <c r="H1399" s="37" t="s">
        <v>5</v>
      </c>
      <c r="I1399" s="37" t="s">
        <v>155</v>
      </c>
      <c r="J1399" s="37"/>
      <c r="K1399" s="6">
        <f t="shared" si="59"/>
        <v>1432.8</v>
      </c>
      <c r="L1399" s="15"/>
      <c r="M1399" s="15"/>
      <c r="N1399" s="15"/>
      <c r="O1399" s="15"/>
      <c r="P1399" s="15"/>
      <c r="Q1399" s="15"/>
      <c r="R1399" s="15"/>
      <c r="S1399" s="15"/>
    </row>
    <row r="1400" spans="1:19" s="50" customFormat="1" ht="31.2" x14ac:dyDescent="0.25">
      <c r="A1400" s="94"/>
      <c r="B1400" s="1" t="s">
        <v>123</v>
      </c>
      <c r="C1400" s="39" t="s">
        <v>126</v>
      </c>
      <c r="D1400" s="37" t="s">
        <v>2</v>
      </c>
      <c r="E1400" s="37" t="s">
        <v>40</v>
      </c>
      <c r="F1400" s="37" t="s">
        <v>128</v>
      </c>
      <c r="G1400" s="37" t="s">
        <v>90</v>
      </c>
      <c r="H1400" s="37" t="s">
        <v>5</v>
      </c>
      <c r="I1400" s="37" t="s">
        <v>155</v>
      </c>
      <c r="J1400" s="37" t="s">
        <v>49</v>
      </c>
      <c r="K1400" s="6">
        <f>595+837.8</f>
        <v>1432.8</v>
      </c>
      <c r="L1400" s="15"/>
      <c r="M1400" s="15"/>
      <c r="N1400" s="15"/>
      <c r="O1400" s="15"/>
      <c r="P1400" s="15"/>
      <c r="Q1400" s="15"/>
      <c r="R1400" s="15"/>
      <c r="S1400" s="15"/>
    </row>
    <row r="1401" spans="1:19" s="50" customFormat="1" ht="31.2" x14ac:dyDescent="0.25">
      <c r="A1401" s="94"/>
      <c r="B1401" s="1" t="s">
        <v>174</v>
      </c>
      <c r="C1401" s="39" t="s">
        <v>126</v>
      </c>
      <c r="D1401" s="37" t="s">
        <v>2</v>
      </c>
      <c r="E1401" s="37" t="s">
        <v>40</v>
      </c>
      <c r="F1401" s="37" t="s">
        <v>128</v>
      </c>
      <c r="G1401" s="37" t="s">
        <v>90</v>
      </c>
      <c r="H1401" s="37" t="s">
        <v>6</v>
      </c>
      <c r="I1401" s="37"/>
      <c r="J1401" s="37"/>
      <c r="K1401" s="6">
        <f>SUM(K1402)</f>
        <v>908.7</v>
      </c>
      <c r="L1401" s="15"/>
      <c r="M1401" s="15"/>
      <c r="N1401" s="15"/>
      <c r="O1401" s="15"/>
      <c r="P1401" s="15"/>
      <c r="Q1401" s="15"/>
      <c r="R1401" s="15"/>
      <c r="S1401" s="15"/>
    </row>
    <row r="1402" spans="1:19" s="50" customFormat="1" ht="31.2" x14ac:dyDescent="0.25">
      <c r="A1402" s="94"/>
      <c r="B1402" s="1" t="s">
        <v>175</v>
      </c>
      <c r="C1402" s="39" t="s">
        <v>126</v>
      </c>
      <c r="D1402" s="37" t="s">
        <v>2</v>
      </c>
      <c r="E1402" s="37" t="s">
        <v>40</v>
      </c>
      <c r="F1402" s="37" t="s">
        <v>128</v>
      </c>
      <c r="G1402" s="37" t="s">
        <v>90</v>
      </c>
      <c r="H1402" s="37" t="s">
        <v>6</v>
      </c>
      <c r="I1402" s="37" t="s">
        <v>173</v>
      </c>
      <c r="J1402" s="37"/>
      <c r="K1402" s="6">
        <f>SUM(K1403+K1404)</f>
        <v>908.7</v>
      </c>
      <c r="L1402" s="15"/>
      <c r="M1402" s="15"/>
      <c r="N1402" s="15"/>
      <c r="O1402" s="15"/>
      <c r="P1402" s="15"/>
      <c r="Q1402" s="15"/>
      <c r="R1402" s="15"/>
      <c r="S1402" s="15"/>
    </row>
    <row r="1403" spans="1:19" s="50" customFormat="1" ht="31.2" x14ac:dyDescent="0.25">
      <c r="A1403" s="94"/>
      <c r="B1403" s="1" t="s">
        <v>123</v>
      </c>
      <c r="C1403" s="39" t="s">
        <v>126</v>
      </c>
      <c r="D1403" s="37" t="s">
        <v>2</v>
      </c>
      <c r="E1403" s="37" t="s">
        <v>40</v>
      </c>
      <c r="F1403" s="37" t="s">
        <v>128</v>
      </c>
      <c r="G1403" s="37" t="s">
        <v>90</v>
      </c>
      <c r="H1403" s="37" t="s">
        <v>6</v>
      </c>
      <c r="I1403" s="37" t="s">
        <v>173</v>
      </c>
      <c r="J1403" s="37" t="s">
        <v>49</v>
      </c>
      <c r="K1403" s="6">
        <f>608+401+250+100-894.8+53.8-0.1</f>
        <v>517.9</v>
      </c>
      <c r="L1403" s="15"/>
      <c r="M1403" s="15"/>
      <c r="N1403" s="15"/>
      <c r="O1403" s="15"/>
      <c r="P1403" s="15"/>
      <c r="Q1403" s="15"/>
      <c r="R1403" s="15"/>
      <c r="S1403" s="15"/>
    </row>
    <row r="1404" spans="1:19" s="50" customFormat="1" x14ac:dyDescent="0.25">
      <c r="A1404" s="94"/>
      <c r="B1404" s="1" t="s">
        <v>50</v>
      </c>
      <c r="C1404" s="39" t="s">
        <v>126</v>
      </c>
      <c r="D1404" s="37" t="s">
        <v>2</v>
      </c>
      <c r="E1404" s="37" t="s">
        <v>40</v>
      </c>
      <c r="F1404" s="37" t="s">
        <v>128</v>
      </c>
      <c r="G1404" s="37" t="s">
        <v>90</v>
      </c>
      <c r="H1404" s="37" t="s">
        <v>6</v>
      </c>
      <c r="I1404" s="37" t="s">
        <v>173</v>
      </c>
      <c r="J1404" s="37" t="s">
        <v>51</v>
      </c>
      <c r="K1404" s="6">
        <v>390.8</v>
      </c>
      <c r="L1404" s="15"/>
      <c r="M1404" s="15"/>
      <c r="N1404" s="15"/>
      <c r="O1404" s="15"/>
      <c r="P1404" s="15"/>
      <c r="Q1404" s="15"/>
      <c r="R1404" s="15"/>
      <c r="S1404" s="15"/>
    </row>
    <row r="1405" spans="1:19" s="50" customFormat="1" ht="46.8" x14ac:dyDescent="0.25">
      <c r="A1405" s="94"/>
      <c r="B1405" s="1" t="s">
        <v>350</v>
      </c>
      <c r="C1405" s="39" t="s">
        <v>126</v>
      </c>
      <c r="D1405" s="37" t="s">
        <v>2</v>
      </c>
      <c r="E1405" s="37" t="s">
        <v>40</v>
      </c>
      <c r="F1405" s="37" t="s">
        <v>128</v>
      </c>
      <c r="G1405" s="37" t="s">
        <v>90</v>
      </c>
      <c r="H1405" s="37" t="s">
        <v>7</v>
      </c>
      <c r="I1405" s="37"/>
      <c r="J1405" s="37"/>
      <c r="K1405" s="6">
        <f>SUM(K1406)</f>
        <v>0</v>
      </c>
      <c r="L1405" s="15"/>
      <c r="M1405" s="15"/>
      <c r="N1405" s="15"/>
      <c r="O1405" s="15"/>
      <c r="P1405" s="15"/>
      <c r="Q1405" s="15"/>
      <c r="R1405" s="15"/>
      <c r="S1405" s="15"/>
    </row>
    <row r="1406" spans="1:19" s="50" customFormat="1" x14ac:dyDescent="0.25">
      <c r="A1406" s="94"/>
      <c r="B1406" s="3" t="s">
        <v>237</v>
      </c>
      <c r="C1406" s="39" t="s">
        <v>126</v>
      </c>
      <c r="D1406" s="37" t="s">
        <v>2</v>
      </c>
      <c r="E1406" s="37" t="s">
        <v>40</v>
      </c>
      <c r="F1406" s="37" t="s">
        <v>128</v>
      </c>
      <c r="G1406" s="37" t="s">
        <v>90</v>
      </c>
      <c r="H1406" s="37" t="s">
        <v>7</v>
      </c>
      <c r="I1406" s="37" t="s">
        <v>236</v>
      </c>
      <c r="J1406" s="37"/>
      <c r="K1406" s="6">
        <f>SUM(K1407)</f>
        <v>0</v>
      </c>
      <c r="L1406" s="15"/>
      <c r="M1406" s="15"/>
      <c r="N1406" s="15"/>
      <c r="O1406" s="15"/>
      <c r="P1406" s="15"/>
      <c r="Q1406" s="15"/>
      <c r="R1406" s="15"/>
      <c r="S1406" s="15"/>
    </row>
    <row r="1407" spans="1:19" s="50" customFormat="1" ht="31.2" x14ac:dyDescent="0.25">
      <c r="A1407" s="94"/>
      <c r="B1407" s="1" t="s">
        <v>123</v>
      </c>
      <c r="C1407" s="39" t="s">
        <v>126</v>
      </c>
      <c r="D1407" s="37" t="s">
        <v>2</v>
      </c>
      <c r="E1407" s="37" t="s">
        <v>40</v>
      </c>
      <c r="F1407" s="37" t="s">
        <v>128</v>
      </c>
      <c r="G1407" s="37" t="s">
        <v>90</v>
      </c>
      <c r="H1407" s="37" t="s">
        <v>7</v>
      </c>
      <c r="I1407" s="37" t="s">
        <v>236</v>
      </c>
      <c r="J1407" s="37" t="s">
        <v>49</v>
      </c>
      <c r="K1407" s="6"/>
      <c r="L1407" s="15"/>
      <c r="M1407" s="15"/>
      <c r="N1407" s="15"/>
      <c r="O1407" s="15"/>
      <c r="P1407" s="15"/>
      <c r="Q1407" s="15"/>
      <c r="R1407" s="15"/>
      <c r="S1407" s="15"/>
    </row>
    <row r="1408" spans="1:19" s="50" customFormat="1" x14ac:dyDescent="0.25">
      <c r="A1408" s="94"/>
      <c r="B1408" s="1" t="s">
        <v>15</v>
      </c>
      <c r="C1408" s="39" t="s">
        <v>126</v>
      </c>
      <c r="D1408" s="37" t="s">
        <v>6</v>
      </c>
      <c r="E1408" s="37"/>
      <c r="F1408" s="37"/>
      <c r="G1408" s="37"/>
      <c r="H1408" s="37"/>
      <c r="I1408" s="37"/>
      <c r="J1408" s="37"/>
      <c r="K1408" s="6">
        <f>SUM(K1409)</f>
        <v>0</v>
      </c>
      <c r="L1408" s="15"/>
      <c r="M1408" s="15"/>
      <c r="N1408" s="15"/>
      <c r="O1408" s="15"/>
      <c r="P1408" s="15"/>
      <c r="Q1408" s="15"/>
      <c r="R1408" s="15"/>
      <c r="S1408" s="15"/>
    </row>
    <row r="1409" spans="1:19" s="50" customFormat="1" x14ac:dyDescent="0.25">
      <c r="A1409" s="94"/>
      <c r="B1409" s="1" t="s">
        <v>69</v>
      </c>
      <c r="C1409" s="39" t="s">
        <v>126</v>
      </c>
      <c r="D1409" s="37" t="s">
        <v>6</v>
      </c>
      <c r="E1409" s="37" t="s">
        <v>70</v>
      </c>
      <c r="F1409" s="37"/>
      <c r="G1409" s="37"/>
      <c r="H1409" s="37"/>
      <c r="I1409" s="37"/>
      <c r="J1409" s="37"/>
      <c r="K1409" s="6">
        <f>SUM(K1410)</f>
        <v>0</v>
      </c>
      <c r="L1409" s="15"/>
      <c r="M1409" s="15"/>
      <c r="N1409" s="15"/>
      <c r="O1409" s="15"/>
      <c r="P1409" s="15"/>
      <c r="Q1409" s="15"/>
      <c r="R1409" s="15"/>
      <c r="S1409" s="15"/>
    </row>
    <row r="1410" spans="1:19" s="50" customFormat="1" ht="31.2" x14ac:dyDescent="0.25">
      <c r="A1410" s="94"/>
      <c r="B1410" s="1" t="s">
        <v>348</v>
      </c>
      <c r="C1410" s="39" t="s">
        <v>126</v>
      </c>
      <c r="D1410" s="37" t="s">
        <v>6</v>
      </c>
      <c r="E1410" s="37" t="s">
        <v>70</v>
      </c>
      <c r="F1410" s="37" t="s">
        <v>128</v>
      </c>
      <c r="G1410" s="37"/>
      <c r="H1410" s="37"/>
      <c r="I1410" s="37"/>
      <c r="J1410" s="37"/>
      <c r="K1410" s="6">
        <f>SUM(K1411)</f>
        <v>0</v>
      </c>
      <c r="L1410" s="15"/>
      <c r="M1410" s="15"/>
      <c r="N1410" s="15"/>
      <c r="O1410" s="15"/>
      <c r="P1410" s="15"/>
      <c r="Q1410" s="15"/>
      <c r="R1410" s="15"/>
      <c r="S1410" s="15"/>
    </row>
    <row r="1411" spans="1:19" s="50" customFormat="1" ht="31.2" x14ac:dyDescent="0.25">
      <c r="A1411" s="94"/>
      <c r="B1411" s="1" t="s">
        <v>349</v>
      </c>
      <c r="C1411" s="39" t="s">
        <v>126</v>
      </c>
      <c r="D1411" s="37" t="s">
        <v>6</v>
      </c>
      <c r="E1411" s="37" t="s">
        <v>70</v>
      </c>
      <c r="F1411" s="37" t="s">
        <v>128</v>
      </c>
      <c r="G1411" s="37" t="s">
        <v>90</v>
      </c>
      <c r="H1411" s="37"/>
      <c r="I1411" s="37"/>
      <c r="J1411" s="37"/>
      <c r="K1411" s="6">
        <f>SUM(K1412)</f>
        <v>0</v>
      </c>
      <c r="L1411" s="15"/>
      <c r="M1411" s="15"/>
      <c r="N1411" s="15"/>
      <c r="O1411" s="15"/>
      <c r="P1411" s="15"/>
      <c r="Q1411" s="15"/>
      <c r="R1411" s="15"/>
      <c r="S1411" s="15"/>
    </row>
    <row r="1412" spans="1:19" s="50" customFormat="1" ht="31.2" x14ac:dyDescent="0.25">
      <c r="A1412" s="94"/>
      <c r="B1412" s="1" t="s">
        <v>517</v>
      </c>
      <c r="C1412" s="39" t="s">
        <v>126</v>
      </c>
      <c r="D1412" s="37" t="s">
        <v>6</v>
      </c>
      <c r="E1412" s="37" t="s">
        <v>70</v>
      </c>
      <c r="F1412" s="37" t="s">
        <v>128</v>
      </c>
      <c r="G1412" s="37" t="s">
        <v>90</v>
      </c>
      <c r="H1412" s="37" t="s">
        <v>5</v>
      </c>
      <c r="I1412" s="37"/>
      <c r="J1412" s="37"/>
      <c r="K1412" s="6">
        <f>SUM(K1413)</f>
        <v>0</v>
      </c>
      <c r="L1412" s="15"/>
      <c r="M1412" s="15"/>
      <c r="N1412" s="15"/>
      <c r="O1412" s="15"/>
      <c r="P1412" s="15"/>
      <c r="Q1412" s="15"/>
      <c r="R1412" s="15"/>
      <c r="S1412" s="15"/>
    </row>
    <row r="1413" spans="1:19" s="50" customFormat="1" ht="78" x14ac:dyDescent="0.25">
      <c r="A1413" s="94"/>
      <c r="B1413" s="1" t="s">
        <v>556</v>
      </c>
      <c r="C1413" s="39" t="s">
        <v>126</v>
      </c>
      <c r="D1413" s="37" t="s">
        <v>6</v>
      </c>
      <c r="E1413" s="37" t="s">
        <v>70</v>
      </c>
      <c r="F1413" s="37" t="s">
        <v>128</v>
      </c>
      <c r="G1413" s="37" t="s">
        <v>90</v>
      </c>
      <c r="H1413" s="37" t="s">
        <v>5</v>
      </c>
      <c r="I1413" s="37" t="s">
        <v>444</v>
      </c>
      <c r="J1413" s="37"/>
      <c r="K1413" s="6">
        <f>K1414</f>
        <v>0</v>
      </c>
      <c r="L1413" s="15"/>
      <c r="M1413" s="15"/>
      <c r="N1413" s="15"/>
      <c r="O1413" s="15"/>
      <c r="P1413" s="15"/>
      <c r="Q1413" s="15"/>
      <c r="R1413" s="15"/>
      <c r="S1413" s="15"/>
    </row>
    <row r="1414" spans="1:19" s="50" customFormat="1" ht="31.2" x14ac:dyDescent="0.25">
      <c r="A1414" s="94"/>
      <c r="B1414" s="1" t="s">
        <v>123</v>
      </c>
      <c r="C1414" s="39" t="s">
        <v>126</v>
      </c>
      <c r="D1414" s="37" t="s">
        <v>6</v>
      </c>
      <c r="E1414" s="37" t="s">
        <v>70</v>
      </c>
      <c r="F1414" s="37" t="s">
        <v>128</v>
      </c>
      <c r="G1414" s="37" t="s">
        <v>90</v>
      </c>
      <c r="H1414" s="37" t="s">
        <v>5</v>
      </c>
      <c r="I1414" s="37" t="s">
        <v>444</v>
      </c>
      <c r="J1414" s="37" t="s">
        <v>49</v>
      </c>
      <c r="K1414" s="6">
        <f>4498.2+287.2-4785.4</f>
        <v>0</v>
      </c>
      <c r="L1414" s="15"/>
      <c r="M1414" s="15"/>
      <c r="N1414" s="15"/>
      <c r="O1414" s="15"/>
      <c r="P1414" s="15"/>
      <c r="Q1414" s="15"/>
      <c r="R1414" s="15"/>
      <c r="S1414" s="15"/>
    </row>
    <row r="1415" spans="1:19" s="50" customFormat="1" x14ac:dyDescent="0.25">
      <c r="A1415" s="94"/>
      <c r="B1415" s="1" t="s">
        <v>41</v>
      </c>
      <c r="C1415" s="39" t="s">
        <v>126</v>
      </c>
      <c r="D1415" s="37" t="s">
        <v>7</v>
      </c>
      <c r="E1415" s="37"/>
      <c r="F1415" s="37"/>
      <c r="G1415" s="37"/>
      <c r="H1415" s="37"/>
      <c r="I1415" s="37"/>
      <c r="J1415" s="37"/>
      <c r="K1415" s="7">
        <f>K1416</f>
        <v>18944.2</v>
      </c>
      <c r="M1415" s="15"/>
      <c r="N1415" s="15"/>
      <c r="O1415" s="15"/>
      <c r="P1415" s="15"/>
      <c r="Q1415" s="15"/>
      <c r="R1415" s="15"/>
      <c r="S1415" s="15"/>
    </row>
    <row r="1416" spans="1:19" s="50" customFormat="1" x14ac:dyDescent="0.25">
      <c r="A1416" s="94"/>
      <c r="B1416" s="1" t="s">
        <v>474</v>
      </c>
      <c r="C1416" s="39" t="s">
        <v>126</v>
      </c>
      <c r="D1416" s="37" t="s">
        <v>7</v>
      </c>
      <c r="E1416" s="37" t="s">
        <v>5</v>
      </c>
      <c r="F1416" s="37"/>
      <c r="G1416" s="37"/>
      <c r="H1416" s="37"/>
      <c r="I1416" s="37"/>
      <c r="J1416" s="37"/>
      <c r="K1416" s="7">
        <f>K1417</f>
        <v>18944.2</v>
      </c>
      <c r="M1416" s="15"/>
      <c r="N1416" s="15"/>
      <c r="O1416" s="15"/>
      <c r="P1416" s="15"/>
      <c r="Q1416" s="15"/>
      <c r="R1416" s="15"/>
      <c r="S1416" s="15"/>
    </row>
    <row r="1417" spans="1:19" s="50" customFormat="1" ht="31.2" x14ac:dyDescent="0.25">
      <c r="A1417" s="94"/>
      <c r="B1417" s="1" t="s">
        <v>348</v>
      </c>
      <c r="C1417" s="39" t="s">
        <v>126</v>
      </c>
      <c r="D1417" s="37" t="s">
        <v>7</v>
      </c>
      <c r="E1417" s="37" t="s">
        <v>5</v>
      </c>
      <c r="F1417" s="37" t="s">
        <v>128</v>
      </c>
      <c r="G1417" s="37"/>
      <c r="H1417" s="37"/>
      <c r="I1417" s="37"/>
      <c r="J1417" s="37"/>
      <c r="K1417" s="7">
        <f>K1418</f>
        <v>18944.2</v>
      </c>
      <c r="M1417" s="15"/>
      <c r="N1417" s="15"/>
      <c r="O1417" s="15"/>
      <c r="P1417" s="15"/>
      <c r="Q1417" s="15"/>
      <c r="R1417" s="15"/>
      <c r="S1417" s="15"/>
    </row>
    <row r="1418" spans="1:19" s="50" customFormat="1" ht="31.2" x14ac:dyDescent="0.25">
      <c r="A1418" s="94"/>
      <c r="B1418" s="1" t="s">
        <v>349</v>
      </c>
      <c r="C1418" s="39" t="s">
        <v>126</v>
      </c>
      <c r="D1418" s="37" t="s">
        <v>7</v>
      </c>
      <c r="E1418" s="37" t="s">
        <v>5</v>
      </c>
      <c r="F1418" s="37" t="s">
        <v>128</v>
      </c>
      <c r="G1418" s="37" t="s">
        <v>90</v>
      </c>
      <c r="H1418" s="37"/>
      <c r="I1418" s="37"/>
      <c r="J1418" s="37"/>
      <c r="K1418" s="7">
        <f>K1419</f>
        <v>18944.2</v>
      </c>
      <c r="M1418" s="15"/>
      <c r="N1418" s="15"/>
      <c r="O1418" s="15"/>
      <c r="P1418" s="15"/>
      <c r="Q1418" s="15"/>
      <c r="R1418" s="15"/>
      <c r="S1418" s="15"/>
    </row>
    <row r="1419" spans="1:19" s="50" customFormat="1" ht="31.2" x14ac:dyDescent="0.25">
      <c r="A1419" s="94"/>
      <c r="B1419" s="1" t="s">
        <v>517</v>
      </c>
      <c r="C1419" s="39" t="s">
        <v>126</v>
      </c>
      <c r="D1419" s="37" t="s">
        <v>7</v>
      </c>
      <c r="E1419" s="37" t="s">
        <v>5</v>
      </c>
      <c r="F1419" s="37" t="s">
        <v>128</v>
      </c>
      <c r="G1419" s="37" t="s">
        <v>90</v>
      </c>
      <c r="H1419" s="37" t="s">
        <v>5</v>
      </c>
      <c r="I1419" s="37"/>
      <c r="J1419" s="37"/>
      <c r="K1419" s="7">
        <f>K1422+K1420</f>
        <v>18944.2</v>
      </c>
      <c r="M1419" s="15"/>
      <c r="N1419" s="15"/>
      <c r="O1419" s="15"/>
      <c r="P1419" s="15"/>
      <c r="Q1419" s="15"/>
      <c r="R1419" s="15"/>
      <c r="S1419" s="15"/>
    </row>
    <row r="1420" spans="1:19" s="50" customFormat="1" ht="78" x14ac:dyDescent="0.25">
      <c r="A1420" s="94"/>
      <c r="B1420" s="1" t="s">
        <v>556</v>
      </c>
      <c r="C1420" s="39" t="s">
        <v>126</v>
      </c>
      <c r="D1420" s="37" t="s">
        <v>7</v>
      </c>
      <c r="E1420" s="37" t="s">
        <v>5</v>
      </c>
      <c r="F1420" s="37" t="s">
        <v>128</v>
      </c>
      <c r="G1420" s="37" t="s">
        <v>90</v>
      </c>
      <c r="H1420" s="37" t="s">
        <v>5</v>
      </c>
      <c r="I1420" s="37" t="s">
        <v>444</v>
      </c>
      <c r="J1420" s="37"/>
      <c r="K1420" s="7">
        <f>K1421</f>
        <v>18896</v>
      </c>
      <c r="M1420" s="15"/>
      <c r="N1420" s="15"/>
      <c r="O1420" s="15"/>
      <c r="P1420" s="15"/>
      <c r="Q1420" s="15"/>
      <c r="R1420" s="15"/>
      <c r="S1420" s="15"/>
    </row>
    <row r="1421" spans="1:19" s="50" customFormat="1" ht="31.2" x14ac:dyDescent="0.25">
      <c r="A1421" s="94"/>
      <c r="B1421" s="1" t="s">
        <v>123</v>
      </c>
      <c r="C1421" s="39" t="s">
        <v>126</v>
      </c>
      <c r="D1421" s="37" t="s">
        <v>7</v>
      </c>
      <c r="E1421" s="37" t="s">
        <v>5</v>
      </c>
      <c r="F1421" s="37" t="s">
        <v>128</v>
      </c>
      <c r="G1421" s="37" t="s">
        <v>90</v>
      </c>
      <c r="H1421" s="37" t="s">
        <v>5</v>
      </c>
      <c r="I1421" s="37" t="s">
        <v>444</v>
      </c>
      <c r="J1421" s="37" t="s">
        <v>49</v>
      </c>
      <c r="K1421" s="7">
        <f>14110.6+4785.4</f>
        <v>18896</v>
      </c>
      <c r="M1421" s="15"/>
      <c r="N1421" s="15"/>
      <c r="O1421" s="15"/>
      <c r="P1421" s="15"/>
      <c r="Q1421" s="15"/>
      <c r="R1421" s="15"/>
      <c r="S1421" s="15"/>
    </row>
    <row r="1422" spans="1:19" s="50" customFormat="1" ht="84.75" customHeight="1" x14ac:dyDescent="0.25">
      <c r="A1422" s="94"/>
      <c r="B1422" s="1" t="s">
        <v>620</v>
      </c>
      <c r="C1422" s="39" t="s">
        <v>126</v>
      </c>
      <c r="D1422" s="37" t="s">
        <v>7</v>
      </c>
      <c r="E1422" s="37" t="s">
        <v>5</v>
      </c>
      <c r="F1422" s="37" t="s">
        <v>128</v>
      </c>
      <c r="G1422" s="37" t="s">
        <v>90</v>
      </c>
      <c r="H1422" s="37" t="s">
        <v>5</v>
      </c>
      <c r="I1422" s="37" t="s">
        <v>603</v>
      </c>
      <c r="J1422" s="37"/>
      <c r="K1422" s="7">
        <f>K1423</f>
        <v>48.2</v>
      </c>
      <c r="L1422" s="15"/>
      <c r="M1422" s="15"/>
      <c r="N1422" s="15"/>
      <c r="O1422" s="15"/>
      <c r="P1422" s="15"/>
      <c r="Q1422" s="15"/>
      <c r="R1422" s="15"/>
      <c r="S1422" s="15"/>
    </row>
    <row r="1423" spans="1:19" s="50" customFormat="1" ht="31.2" x14ac:dyDescent="0.25">
      <c r="A1423" s="94"/>
      <c r="B1423" s="1" t="s">
        <v>123</v>
      </c>
      <c r="C1423" s="39" t="s">
        <v>126</v>
      </c>
      <c r="D1423" s="37" t="s">
        <v>7</v>
      </c>
      <c r="E1423" s="37" t="s">
        <v>5</v>
      </c>
      <c r="F1423" s="37" t="s">
        <v>128</v>
      </c>
      <c r="G1423" s="37" t="s">
        <v>90</v>
      </c>
      <c r="H1423" s="37" t="s">
        <v>5</v>
      </c>
      <c r="I1423" s="37" t="s">
        <v>603</v>
      </c>
      <c r="J1423" s="37" t="s">
        <v>49</v>
      </c>
      <c r="K1423" s="6">
        <f>48.1+0.1</f>
        <v>48.2</v>
      </c>
      <c r="L1423" s="15"/>
      <c r="M1423" s="15"/>
      <c r="N1423" s="15"/>
      <c r="O1423" s="15"/>
      <c r="P1423" s="15"/>
      <c r="Q1423" s="15"/>
      <c r="R1423" s="15"/>
      <c r="S1423" s="15"/>
    </row>
    <row r="1424" spans="1:19" s="50" customFormat="1" x14ac:dyDescent="0.25">
      <c r="A1424" s="94"/>
      <c r="B1424" s="60" t="s">
        <v>18</v>
      </c>
      <c r="C1424" s="39" t="s">
        <v>126</v>
      </c>
      <c r="D1424" s="37" t="s">
        <v>8</v>
      </c>
      <c r="E1424" s="37"/>
      <c r="F1424" s="37"/>
      <c r="G1424" s="37"/>
      <c r="H1424" s="37"/>
      <c r="I1424" s="37"/>
      <c r="J1424" s="37"/>
      <c r="K1424" s="6">
        <f t="shared" ref="K1424:K1428" si="60">SUM(K1425)</f>
        <v>71.8</v>
      </c>
      <c r="L1424" s="15"/>
      <c r="M1424" s="15"/>
      <c r="N1424" s="15"/>
      <c r="O1424" s="15"/>
      <c r="P1424" s="15"/>
      <c r="Q1424" s="15"/>
      <c r="R1424" s="15"/>
      <c r="S1424" s="15"/>
    </row>
    <row r="1425" spans="1:19" s="50" customFormat="1" ht="19.5" customHeight="1" x14ac:dyDescent="0.25">
      <c r="A1425" s="94"/>
      <c r="B1425" s="1" t="s">
        <v>235</v>
      </c>
      <c r="C1425" s="2">
        <v>947</v>
      </c>
      <c r="D1425" s="37" t="s">
        <v>8</v>
      </c>
      <c r="E1425" s="37" t="s">
        <v>7</v>
      </c>
      <c r="F1425" s="37"/>
      <c r="G1425" s="37"/>
      <c r="H1425" s="37"/>
      <c r="I1425" s="37"/>
      <c r="J1425" s="39"/>
      <c r="K1425" s="6">
        <f t="shared" si="60"/>
        <v>71.8</v>
      </c>
      <c r="L1425" s="15"/>
      <c r="M1425" s="15"/>
      <c r="N1425" s="15"/>
      <c r="O1425" s="15"/>
      <c r="P1425" s="15"/>
      <c r="Q1425" s="15"/>
      <c r="R1425" s="15"/>
      <c r="S1425" s="15"/>
    </row>
    <row r="1426" spans="1:19" s="50" customFormat="1" ht="31.2" x14ac:dyDescent="0.25">
      <c r="A1426" s="94"/>
      <c r="B1426" s="1" t="s">
        <v>348</v>
      </c>
      <c r="C1426" s="2">
        <v>947</v>
      </c>
      <c r="D1426" s="37" t="s">
        <v>8</v>
      </c>
      <c r="E1426" s="37" t="s">
        <v>7</v>
      </c>
      <c r="F1426" s="37" t="s">
        <v>128</v>
      </c>
      <c r="G1426" s="37"/>
      <c r="H1426" s="37"/>
      <c r="I1426" s="37"/>
      <c r="J1426" s="39"/>
      <c r="K1426" s="6">
        <f t="shared" si="60"/>
        <v>71.8</v>
      </c>
      <c r="L1426" s="15"/>
      <c r="M1426" s="15"/>
      <c r="N1426" s="15"/>
      <c r="O1426" s="15"/>
      <c r="P1426" s="15"/>
      <c r="Q1426" s="15"/>
      <c r="R1426" s="15"/>
      <c r="S1426" s="15"/>
    </row>
    <row r="1427" spans="1:19" s="50" customFormat="1" ht="31.2" x14ac:dyDescent="0.25">
      <c r="A1427" s="94"/>
      <c r="B1427" s="1" t="s">
        <v>349</v>
      </c>
      <c r="C1427" s="2">
        <v>947</v>
      </c>
      <c r="D1427" s="37" t="s">
        <v>8</v>
      </c>
      <c r="E1427" s="37" t="s">
        <v>7</v>
      </c>
      <c r="F1427" s="37" t="s">
        <v>128</v>
      </c>
      <c r="G1427" s="37" t="s">
        <v>90</v>
      </c>
      <c r="H1427" s="37"/>
      <c r="I1427" s="37"/>
      <c r="J1427" s="39"/>
      <c r="K1427" s="6">
        <f t="shared" si="60"/>
        <v>71.8</v>
      </c>
      <c r="L1427" s="15"/>
      <c r="M1427" s="15"/>
      <c r="N1427" s="15"/>
      <c r="O1427" s="15"/>
      <c r="P1427" s="15"/>
      <c r="Q1427" s="15"/>
      <c r="R1427" s="15"/>
      <c r="S1427" s="15"/>
    </row>
    <row r="1428" spans="1:19" s="50" customFormat="1" ht="46.8" x14ac:dyDescent="0.25">
      <c r="A1428" s="94"/>
      <c r="B1428" s="1" t="s">
        <v>409</v>
      </c>
      <c r="C1428" s="2">
        <v>947</v>
      </c>
      <c r="D1428" s="37" t="s">
        <v>8</v>
      </c>
      <c r="E1428" s="37" t="s">
        <v>7</v>
      </c>
      <c r="F1428" s="37" t="s">
        <v>128</v>
      </c>
      <c r="G1428" s="37" t="s">
        <v>90</v>
      </c>
      <c r="H1428" s="37" t="s">
        <v>2</v>
      </c>
      <c r="I1428" s="37"/>
      <c r="J1428" s="39"/>
      <c r="K1428" s="6">
        <f t="shared" si="60"/>
        <v>71.8</v>
      </c>
      <c r="L1428" s="15"/>
      <c r="M1428" s="15"/>
      <c r="N1428" s="15"/>
      <c r="O1428" s="15"/>
      <c r="P1428" s="15"/>
      <c r="Q1428" s="15"/>
      <c r="R1428" s="15"/>
      <c r="S1428" s="15"/>
    </row>
    <row r="1429" spans="1:19" s="50" customFormat="1" x14ac:dyDescent="0.25">
      <c r="A1429" s="94"/>
      <c r="B1429" s="1" t="s">
        <v>237</v>
      </c>
      <c r="C1429" s="2">
        <v>947</v>
      </c>
      <c r="D1429" s="37" t="s">
        <v>8</v>
      </c>
      <c r="E1429" s="37" t="s">
        <v>7</v>
      </c>
      <c r="F1429" s="37" t="s">
        <v>128</v>
      </c>
      <c r="G1429" s="37" t="s">
        <v>90</v>
      </c>
      <c r="H1429" s="37" t="s">
        <v>2</v>
      </c>
      <c r="I1429" s="37" t="s">
        <v>236</v>
      </c>
      <c r="J1429" s="39"/>
      <c r="K1429" s="6">
        <f>SUM(K1430)</f>
        <v>71.8</v>
      </c>
      <c r="L1429" s="15"/>
      <c r="M1429" s="15"/>
      <c r="N1429" s="15"/>
      <c r="O1429" s="15"/>
      <c r="P1429" s="15"/>
      <c r="Q1429" s="15"/>
      <c r="R1429" s="15"/>
      <c r="S1429" s="15"/>
    </row>
    <row r="1430" spans="1:19" s="50" customFormat="1" ht="31.2" x14ac:dyDescent="0.25">
      <c r="A1430" s="94"/>
      <c r="B1430" s="1" t="s">
        <v>123</v>
      </c>
      <c r="C1430" s="2">
        <v>947</v>
      </c>
      <c r="D1430" s="37" t="s">
        <v>8</v>
      </c>
      <c r="E1430" s="37" t="s">
        <v>7</v>
      </c>
      <c r="F1430" s="37" t="s">
        <v>128</v>
      </c>
      <c r="G1430" s="37" t="s">
        <v>90</v>
      </c>
      <c r="H1430" s="37" t="s">
        <v>2</v>
      </c>
      <c r="I1430" s="37" t="s">
        <v>236</v>
      </c>
      <c r="J1430" s="39" t="s">
        <v>49</v>
      </c>
      <c r="K1430" s="6">
        <v>71.8</v>
      </c>
      <c r="L1430" s="15"/>
      <c r="M1430" s="15"/>
      <c r="N1430" s="15"/>
      <c r="O1430" s="15"/>
      <c r="P1430" s="15"/>
      <c r="Q1430" s="15"/>
      <c r="R1430" s="15"/>
      <c r="S1430" s="15"/>
    </row>
    <row r="1431" spans="1:19" s="50" customFormat="1" ht="46.8" x14ac:dyDescent="0.25">
      <c r="A1431" s="94" t="s">
        <v>92</v>
      </c>
      <c r="B1431" s="60" t="s">
        <v>496</v>
      </c>
      <c r="C1431" s="39" t="s">
        <v>44</v>
      </c>
      <c r="D1431" s="37"/>
      <c r="E1431" s="37"/>
      <c r="F1431" s="37"/>
      <c r="G1431" s="37"/>
      <c r="H1431" s="37"/>
      <c r="I1431" s="37"/>
      <c r="J1431" s="37"/>
      <c r="K1431" s="6">
        <f>SUM(K1442+K1432)</f>
        <v>55475.7</v>
      </c>
      <c r="L1431" s="15"/>
      <c r="M1431" s="15"/>
      <c r="N1431" s="15"/>
      <c r="O1431" s="15"/>
      <c r="P1431" s="15"/>
      <c r="Q1431" s="15"/>
      <c r="R1431" s="15"/>
      <c r="S1431" s="15"/>
    </row>
    <row r="1432" spans="1:19" s="50" customFormat="1" x14ac:dyDescent="0.25">
      <c r="A1432" s="94"/>
      <c r="B1432" s="58" t="s">
        <v>18</v>
      </c>
      <c r="C1432" s="2">
        <v>953</v>
      </c>
      <c r="D1432" s="37" t="s">
        <v>8</v>
      </c>
      <c r="E1432" s="37"/>
      <c r="F1432" s="37"/>
      <c r="G1432" s="38"/>
      <c r="H1432" s="37"/>
      <c r="I1432" s="37"/>
      <c r="J1432" s="37"/>
      <c r="K1432" s="6">
        <f>SUM(K1433)</f>
        <v>223.2</v>
      </c>
      <c r="L1432" s="15"/>
      <c r="M1432" s="15"/>
      <c r="N1432" s="15"/>
      <c r="O1432" s="15"/>
      <c r="P1432" s="15"/>
      <c r="Q1432" s="15"/>
      <c r="R1432" s="15"/>
      <c r="S1432" s="15"/>
    </row>
    <row r="1433" spans="1:19" s="50" customFormat="1" x14ac:dyDescent="0.25">
      <c r="A1433" s="94"/>
      <c r="B1433" s="58" t="s">
        <v>27</v>
      </c>
      <c r="C1433" s="2">
        <v>953</v>
      </c>
      <c r="D1433" s="37" t="s">
        <v>8</v>
      </c>
      <c r="E1433" s="37" t="s">
        <v>24</v>
      </c>
      <c r="F1433" s="37"/>
      <c r="G1433" s="38"/>
      <c r="H1433" s="37"/>
      <c r="I1433" s="37"/>
      <c r="J1433" s="37"/>
      <c r="K1433" s="6">
        <f t="shared" ref="K1433" si="61">K1434</f>
        <v>223.2</v>
      </c>
      <c r="L1433" s="15"/>
      <c r="M1433" s="15"/>
      <c r="N1433" s="15"/>
      <c r="O1433" s="15"/>
      <c r="P1433" s="15"/>
      <c r="Q1433" s="15"/>
      <c r="R1433" s="15"/>
      <c r="S1433" s="15"/>
    </row>
    <row r="1434" spans="1:19" s="50" customFormat="1" ht="31.2" x14ac:dyDescent="0.25">
      <c r="A1434" s="94"/>
      <c r="B1434" s="40" t="s">
        <v>445</v>
      </c>
      <c r="C1434" s="2">
        <v>953</v>
      </c>
      <c r="D1434" s="37" t="s">
        <v>8</v>
      </c>
      <c r="E1434" s="37" t="s">
        <v>24</v>
      </c>
      <c r="F1434" s="37" t="s">
        <v>21</v>
      </c>
      <c r="G1434" s="37"/>
      <c r="H1434" s="37"/>
      <c r="I1434" s="37"/>
      <c r="J1434" s="37"/>
      <c r="K1434" s="6">
        <f>K1435</f>
        <v>223.2</v>
      </c>
      <c r="L1434" s="15"/>
      <c r="M1434" s="15"/>
      <c r="N1434" s="15"/>
      <c r="O1434" s="15"/>
      <c r="P1434" s="15"/>
      <c r="Q1434" s="15"/>
      <c r="R1434" s="15"/>
      <c r="S1434" s="15"/>
    </row>
    <row r="1435" spans="1:19" s="50" customFormat="1" ht="31.2" x14ac:dyDescent="0.25">
      <c r="A1435" s="94"/>
      <c r="B1435" s="40" t="s">
        <v>446</v>
      </c>
      <c r="C1435" s="2">
        <v>953</v>
      </c>
      <c r="D1435" s="39" t="s">
        <v>8</v>
      </c>
      <c r="E1435" s="39" t="s">
        <v>24</v>
      </c>
      <c r="F1435" s="37" t="s">
        <v>21</v>
      </c>
      <c r="G1435" s="38">
        <v>1</v>
      </c>
      <c r="H1435" s="37"/>
      <c r="I1435" s="37"/>
      <c r="J1435" s="37"/>
      <c r="K1435" s="6">
        <f>K1436</f>
        <v>223.2</v>
      </c>
      <c r="L1435" s="15"/>
      <c r="M1435" s="15"/>
      <c r="N1435" s="15"/>
      <c r="O1435" s="15"/>
      <c r="P1435" s="15"/>
      <c r="Q1435" s="15"/>
      <c r="R1435" s="15"/>
      <c r="S1435" s="15"/>
    </row>
    <row r="1436" spans="1:19" s="50" customFormat="1" x14ac:dyDescent="0.25">
      <c r="A1436" s="94"/>
      <c r="B1436" s="40" t="s">
        <v>120</v>
      </c>
      <c r="C1436" s="2">
        <v>953</v>
      </c>
      <c r="D1436" s="39" t="s">
        <v>8</v>
      </c>
      <c r="E1436" s="39" t="s">
        <v>24</v>
      </c>
      <c r="F1436" s="37" t="s">
        <v>21</v>
      </c>
      <c r="G1436" s="38">
        <v>1</v>
      </c>
      <c r="H1436" s="37" t="s">
        <v>2</v>
      </c>
      <c r="I1436" s="37"/>
      <c r="J1436" s="37"/>
      <c r="K1436" s="6">
        <f>K1437+K1440</f>
        <v>223.2</v>
      </c>
      <c r="L1436" s="15"/>
      <c r="M1436" s="15"/>
      <c r="N1436" s="15"/>
      <c r="O1436" s="15"/>
      <c r="P1436" s="15"/>
      <c r="Q1436" s="15"/>
      <c r="R1436" s="15"/>
      <c r="S1436" s="15"/>
    </row>
    <row r="1437" spans="1:19" s="50" customFormat="1" ht="78" x14ac:dyDescent="0.25">
      <c r="A1437" s="94"/>
      <c r="B1437" s="62" t="s">
        <v>140</v>
      </c>
      <c r="C1437" s="2">
        <v>953</v>
      </c>
      <c r="D1437" s="37" t="s">
        <v>8</v>
      </c>
      <c r="E1437" s="37" t="s">
        <v>24</v>
      </c>
      <c r="F1437" s="37" t="s">
        <v>21</v>
      </c>
      <c r="G1437" s="38">
        <v>1</v>
      </c>
      <c r="H1437" s="37" t="s">
        <v>2</v>
      </c>
      <c r="I1437" s="37"/>
      <c r="J1437" s="39"/>
      <c r="K1437" s="6">
        <f t="shared" ref="K1437" si="62">SUM(K1438:K1439)</f>
        <v>73.2</v>
      </c>
      <c r="L1437" s="15"/>
      <c r="M1437" s="15"/>
      <c r="N1437" s="15"/>
      <c r="O1437" s="15"/>
      <c r="P1437" s="15"/>
      <c r="Q1437" s="15"/>
      <c r="R1437" s="15"/>
      <c r="S1437" s="15"/>
    </row>
    <row r="1438" spans="1:19" s="50" customFormat="1" ht="31.2" x14ac:dyDescent="0.25">
      <c r="A1438" s="94"/>
      <c r="B1438" s="1" t="s">
        <v>123</v>
      </c>
      <c r="C1438" s="2">
        <v>953</v>
      </c>
      <c r="D1438" s="37" t="s">
        <v>8</v>
      </c>
      <c r="E1438" s="37" t="s">
        <v>24</v>
      </c>
      <c r="F1438" s="37" t="s">
        <v>21</v>
      </c>
      <c r="G1438" s="38">
        <v>1</v>
      </c>
      <c r="H1438" s="37" t="s">
        <v>2</v>
      </c>
      <c r="I1438" s="37" t="s">
        <v>247</v>
      </c>
      <c r="J1438" s="39" t="s">
        <v>49</v>
      </c>
      <c r="K1438" s="6">
        <f>72.7+0.5</f>
        <v>73.2</v>
      </c>
      <c r="L1438" s="15"/>
      <c r="M1438" s="15"/>
      <c r="N1438" s="15"/>
      <c r="O1438" s="15"/>
      <c r="P1438" s="15"/>
      <c r="Q1438" s="15"/>
      <c r="R1438" s="15"/>
      <c r="S1438" s="15"/>
    </row>
    <row r="1439" spans="1:19" s="50" customFormat="1" x14ac:dyDescent="0.25">
      <c r="A1439" s="94"/>
      <c r="B1439" s="3" t="s">
        <v>55</v>
      </c>
      <c r="C1439" s="2">
        <v>953</v>
      </c>
      <c r="D1439" s="37" t="s">
        <v>8</v>
      </c>
      <c r="E1439" s="37" t="s">
        <v>24</v>
      </c>
      <c r="F1439" s="37" t="s">
        <v>21</v>
      </c>
      <c r="G1439" s="38">
        <v>1</v>
      </c>
      <c r="H1439" s="37" t="s">
        <v>2</v>
      </c>
      <c r="I1439" s="37" t="s">
        <v>247</v>
      </c>
      <c r="J1439" s="39" t="s">
        <v>56</v>
      </c>
      <c r="K1439" s="6"/>
      <c r="L1439" s="15"/>
      <c r="M1439" s="15"/>
      <c r="N1439" s="15"/>
      <c r="O1439" s="15"/>
      <c r="P1439" s="15"/>
      <c r="Q1439" s="15"/>
      <c r="R1439" s="15"/>
      <c r="S1439" s="15"/>
    </row>
    <row r="1440" spans="1:19" s="50" customFormat="1" ht="31.2" x14ac:dyDescent="0.25">
      <c r="A1440" s="94"/>
      <c r="B1440" s="3" t="s">
        <v>465</v>
      </c>
      <c r="C1440" s="2">
        <v>953</v>
      </c>
      <c r="D1440" s="37" t="s">
        <v>8</v>
      </c>
      <c r="E1440" s="37" t="s">
        <v>24</v>
      </c>
      <c r="F1440" s="37" t="s">
        <v>21</v>
      </c>
      <c r="G1440" s="38">
        <v>1</v>
      </c>
      <c r="H1440" s="37" t="s">
        <v>2</v>
      </c>
      <c r="I1440" s="37" t="s">
        <v>197</v>
      </c>
      <c r="J1440" s="39"/>
      <c r="K1440" s="6">
        <f>SUM(K1441)</f>
        <v>150</v>
      </c>
      <c r="L1440" s="15"/>
      <c r="M1440" s="15"/>
      <c r="N1440" s="15"/>
      <c r="O1440" s="15"/>
      <c r="P1440" s="15"/>
      <c r="Q1440" s="15"/>
      <c r="R1440" s="15"/>
      <c r="S1440" s="15"/>
    </row>
    <row r="1441" spans="1:19" s="50" customFormat="1" ht="31.2" x14ac:dyDescent="0.25">
      <c r="A1441" s="94"/>
      <c r="B1441" s="1" t="s">
        <v>123</v>
      </c>
      <c r="C1441" s="2">
        <v>953</v>
      </c>
      <c r="D1441" s="37" t="s">
        <v>8</v>
      </c>
      <c r="E1441" s="37" t="s">
        <v>24</v>
      </c>
      <c r="F1441" s="37" t="s">
        <v>21</v>
      </c>
      <c r="G1441" s="38">
        <v>1</v>
      </c>
      <c r="H1441" s="37" t="s">
        <v>2</v>
      </c>
      <c r="I1441" s="37" t="s">
        <v>197</v>
      </c>
      <c r="J1441" s="39" t="s">
        <v>49</v>
      </c>
      <c r="K1441" s="6">
        <f>150</f>
        <v>150</v>
      </c>
      <c r="L1441" s="15"/>
      <c r="M1441" s="15"/>
      <c r="N1441" s="15"/>
      <c r="O1441" s="15"/>
      <c r="P1441" s="15"/>
      <c r="Q1441" s="15"/>
      <c r="R1441" s="15"/>
      <c r="S1441" s="15"/>
    </row>
    <row r="1442" spans="1:19" s="50" customFormat="1" x14ac:dyDescent="0.25">
      <c r="A1442" s="94"/>
      <c r="B1442" s="1" t="s">
        <v>20</v>
      </c>
      <c r="C1442" s="2">
        <v>953</v>
      </c>
      <c r="D1442" s="37" t="s">
        <v>21</v>
      </c>
      <c r="E1442" s="39"/>
      <c r="F1442" s="39"/>
      <c r="G1442" s="2"/>
      <c r="H1442" s="39"/>
      <c r="I1442" s="39"/>
      <c r="J1442" s="39"/>
      <c r="K1442" s="6">
        <f>SUM(K1443+K1462)</f>
        <v>55252.5</v>
      </c>
      <c r="L1442" s="15"/>
      <c r="M1442" s="15"/>
      <c r="N1442" s="15"/>
      <c r="O1442" s="15"/>
      <c r="P1442" s="15"/>
      <c r="Q1442" s="15"/>
      <c r="R1442" s="15"/>
      <c r="S1442" s="15"/>
    </row>
    <row r="1443" spans="1:19" s="50" customFormat="1" x14ac:dyDescent="0.25">
      <c r="A1443" s="94"/>
      <c r="B1443" s="1" t="s">
        <v>29</v>
      </c>
      <c r="C1443" s="2">
        <v>953</v>
      </c>
      <c r="D1443" s="39" t="s">
        <v>21</v>
      </c>
      <c r="E1443" s="39" t="s">
        <v>6</v>
      </c>
      <c r="F1443" s="39"/>
      <c r="G1443" s="2"/>
      <c r="H1443" s="39"/>
      <c r="I1443" s="39"/>
      <c r="J1443" s="39"/>
      <c r="K1443" s="6">
        <f>SUM(K1444)</f>
        <v>41794.400000000001</v>
      </c>
      <c r="L1443" s="15"/>
      <c r="M1443" s="15"/>
      <c r="N1443" s="15"/>
      <c r="O1443" s="15"/>
      <c r="P1443" s="15"/>
      <c r="Q1443" s="15"/>
      <c r="R1443" s="15"/>
      <c r="S1443" s="15"/>
    </row>
    <row r="1444" spans="1:19" s="50" customFormat="1" ht="31.2" x14ac:dyDescent="0.25">
      <c r="A1444" s="94"/>
      <c r="B1444" s="40" t="s">
        <v>445</v>
      </c>
      <c r="C1444" s="2">
        <v>953</v>
      </c>
      <c r="D1444" s="39" t="s">
        <v>21</v>
      </c>
      <c r="E1444" s="39" t="s">
        <v>6</v>
      </c>
      <c r="F1444" s="39" t="s">
        <v>21</v>
      </c>
      <c r="G1444" s="2"/>
      <c r="H1444" s="39"/>
      <c r="I1444" s="39"/>
      <c r="J1444" s="39"/>
      <c r="K1444" s="6">
        <f t="shared" ref="K1444" si="63">SUM(K1445)</f>
        <v>41794.400000000001</v>
      </c>
      <c r="L1444" s="15"/>
      <c r="M1444" s="15"/>
      <c r="N1444" s="15"/>
      <c r="O1444" s="15"/>
      <c r="P1444" s="15"/>
      <c r="Q1444" s="15"/>
      <c r="R1444" s="15"/>
      <c r="S1444" s="15"/>
    </row>
    <row r="1445" spans="1:19" s="50" customFormat="1" ht="31.2" x14ac:dyDescent="0.25">
      <c r="A1445" s="94"/>
      <c r="B1445" s="40" t="s">
        <v>446</v>
      </c>
      <c r="C1445" s="2">
        <v>953</v>
      </c>
      <c r="D1445" s="39" t="s">
        <v>21</v>
      </c>
      <c r="E1445" s="39" t="s">
        <v>6</v>
      </c>
      <c r="F1445" s="39" t="s">
        <v>21</v>
      </c>
      <c r="G1445" s="2">
        <v>1</v>
      </c>
      <c r="H1445" s="39"/>
      <c r="I1445" s="39"/>
      <c r="J1445" s="39"/>
      <c r="K1445" s="6">
        <f>SUM(K1446)</f>
        <v>41794.400000000001</v>
      </c>
      <c r="L1445" s="15"/>
      <c r="M1445" s="15"/>
      <c r="N1445" s="15"/>
      <c r="O1445" s="15"/>
      <c r="P1445" s="15"/>
      <c r="Q1445" s="15"/>
      <c r="R1445" s="15"/>
      <c r="S1445" s="15"/>
    </row>
    <row r="1446" spans="1:19" s="50" customFormat="1" x14ac:dyDescent="0.25">
      <c r="A1446" s="94"/>
      <c r="B1446" s="57" t="s">
        <v>120</v>
      </c>
      <c r="C1446" s="2">
        <v>953</v>
      </c>
      <c r="D1446" s="39" t="s">
        <v>21</v>
      </c>
      <c r="E1446" s="39" t="s">
        <v>6</v>
      </c>
      <c r="F1446" s="39" t="s">
        <v>21</v>
      </c>
      <c r="G1446" s="2">
        <v>1</v>
      </c>
      <c r="H1446" s="39" t="s">
        <v>2</v>
      </c>
      <c r="I1446" s="39"/>
      <c r="J1446" s="39"/>
      <c r="K1446" s="6">
        <f>SUM(K1447+K1450+K1453+K1456+K1458+K1460)</f>
        <v>41794.400000000001</v>
      </c>
      <c r="L1446" s="15"/>
      <c r="M1446" s="15"/>
      <c r="N1446" s="15"/>
      <c r="O1446" s="15"/>
      <c r="P1446" s="15"/>
      <c r="Q1446" s="15"/>
      <c r="R1446" s="15"/>
      <c r="S1446" s="15"/>
    </row>
    <row r="1447" spans="1:19" s="50" customFormat="1" ht="78" x14ac:dyDescent="0.25">
      <c r="A1447" s="94"/>
      <c r="B1447" s="57" t="s">
        <v>203</v>
      </c>
      <c r="C1447" s="2">
        <v>953</v>
      </c>
      <c r="D1447" s="39" t="s">
        <v>21</v>
      </c>
      <c r="E1447" s="39" t="s">
        <v>6</v>
      </c>
      <c r="F1447" s="39" t="s">
        <v>21</v>
      </c>
      <c r="G1447" s="2">
        <v>1</v>
      </c>
      <c r="H1447" s="39" t="s">
        <v>2</v>
      </c>
      <c r="I1447" s="39" t="s">
        <v>248</v>
      </c>
      <c r="J1447" s="39"/>
      <c r="K1447" s="6">
        <f>SUM(K1448:K1449)</f>
        <v>28538.2</v>
      </c>
      <c r="L1447" s="15"/>
      <c r="M1447" s="15"/>
      <c r="N1447" s="15"/>
      <c r="O1447" s="15"/>
      <c r="P1447" s="15"/>
      <c r="Q1447" s="15"/>
      <c r="R1447" s="15"/>
      <c r="S1447" s="15"/>
    </row>
    <row r="1448" spans="1:19" s="50" customFormat="1" ht="31.2" x14ac:dyDescent="0.25">
      <c r="A1448" s="94"/>
      <c r="B1448" s="1" t="s">
        <v>123</v>
      </c>
      <c r="C1448" s="2">
        <v>953</v>
      </c>
      <c r="D1448" s="39" t="s">
        <v>21</v>
      </c>
      <c r="E1448" s="39" t="s">
        <v>6</v>
      </c>
      <c r="F1448" s="39" t="s">
        <v>21</v>
      </c>
      <c r="G1448" s="2">
        <v>1</v>
      </c>
      <c r="H1448" s="39" t="s">
        <v>2</v>
      </c>
      <c r="I1448" s="39" t="s">
        <v>248</v>
      </c>
      <c r="J1448" s="39" t="s">
        <v>49</v>
      </c>
      <c r="K1448" s="6">
        <v>310</v>
      </c>
      <c r="L1448" s="15"/>
      <c r="M1448" s="15"/>
      <c r="N1448" s="15"/>
      <c r="O1448" s="15"/>
      <c r="P1448" s="15"/>
      <c r="Q1448" s="15"/>
      <c r="R1448" s="15"/>
      <c r="S1448" s="15"/>
    </row>
    <row r="1449" spans="1:19" s="50" customFormat="1" x14ac:dyDescent="0.25">
      <c r="A1449" s="94"/>
      <c r="B1449" s="1" t="s">
        <v>55</v>
      </c>
      <c r="C1449" s="2">
        <v>953</v>
      </c>
      <c r="D1449" s="39" t="s">
        <v>21</v>
      </c>
      <c r="E1449" s="39" t="s">
        <v>6</v>
      </c>
      <c r="F1449" s="39" t="s">
        <v>21</v>
      </c>
      <c r="G1449" s="2">
        <v>1</v>
      </c>
      <c r="H1449" s="39" t="s">
        <v>2</v>
      </c>
      <c r="I1449" s="37" t="s">
        <v>248</v>
      </c>
      <c r="J1449" s="39" t="s">
        <v>56</v>
      </c>
      <c r="K1449" s="6">
        <f>31331.2-235-2868</f>
        <v>28228.2</v>
      </c>
      <c r="L1449" s="15"/>
      <c r="M1449" s="15"/>
      <c r="N1449" s="15"/>
      <c r="O1449" s="15"/>
      <c r="P1449" s="15"/>
      <c r="Q1449" s="15"/>
      <c r="R1449" s="15"/>
      <c r="S1449" s="15"/>
    </row>
    <row r="1450" spans="1:19" s="50" customFormat="1" ht="46.8" x14ac:dyDescent="0.25">
      <c r="A1450" s="94"/>
      <c r="B1450" s="62" t="s">
        <v>256</v>
      </c>
      <c r="C1450" s="2">
        <v>953</v>
      </c>
      <c r="D1450" s="39" t="s">
        <v>21</v>
      </c>
      <c r="E1450" s="39" t="s">
        <v>6</v>
      </c>
      <c r="F1450" s="37" t="s">
        <v>21</v>
      </c>
      <c r="G1450" s="2">
        <v>1</v>
      </c>
      <c r="H1450" s="37" t="s">
        <v>2</v>
      </c>
      <c r="I1450" s="37" t="s">
        <v>255</v>
      </c>
      <c r="J1450" s="37"/>
      <c r="K1450" s="6">
        <f>SUM(K1451:K1452)</f>
        <v>115</v>
      </c>
      <c r="L1450" s="15"/>
      <c r="M1450" s="15"/>
      <c r="N1450" s="15"/>
      <c r="O1450" s="15"/>
      <c r="P1450" s="15"/>
      <c r="Q1450" s="15"/>
      <c r="R1450" s="15"/>
      <c r="S1450" s="15"/>
    </row>
    <row r="1451" spans="1:19" s="50" customFormat="1" ht="31.2" x14ac:dyDescent="0.25">
      <c r="A1451" s="94"/>
      <c r="B1451" s="1" t="s">
        <v>123</v>
      </c>
      <c r="C1451" s="2">
        <v>953</v>
      </c>
      <c r="D1451" s="39" t="s">
        <v>21</v>
      </c>
      <c r="E1451" s="39" t="s">
        <v>6</v>
      </c>
      <c r="F1451" s="37" t="s">
        <v>21</v>
      </c>
      <c r="G1451" s="2">
        <v>1</v>
      </c>
      <c r="H1451" s="37" t="s">
        <v>2</v>
      </c>
      <c r="I1451" s="37" t="s">
        <v>255</v>
      </c>
      <c r="J1451" s="37" t="s">
        <v>49</v>
      </c>
      <c r="K1451" s="6"/>
      <c r="L1451" s="15"/>
      <c r="M1451" s="15"/>
      <c r="N1451" s="15"/>
      <c r="O1451" s="15"/>
      <c r="P1451" s="15"/>
      <c r="Q1451" s="15"/>
      <c r="R1451" s="15"/>
      <c r="S1451" s="15"/>
    </row>
    <row r="1452" spans="1:19" s="50" customFormat="1" x14ac:dyDescent="0.25">
      <c r="A1452" s="94"/>
      <c r="B1452" s="1" t="s">
        <v>55</v>
      </c>
      <c r="C1452" s="2">
        <v>953</v>
      </c>
      <c r="D1452" s="39" t="s">
        <v>21</v>
      </c>
      <c r="E1452" s="39" t="s">
        <v>6</v>
      </c>
      <c r="F1452" s="37" t="s">
        <v>21</v>
      </c>
      <c r="G1452" s="2">
        <v>1</v>
      </c>
      <c r="H1452" s="37" t="s">
        <v>2</v>
      </c>
      <c r="I1452" s="39" t="s">
        <v>255</v>
      </c>
      <c r="J1452" s="37" t="s">
        <v>56</v>
      </c>
      <c r="K1452" s="6">
        <v>115</v>
      </c>
      <c r="L1452" s="15"/>
      <c r="M1452" s="15"/>
      <c r="N1452" s="15"/>
      <c r="O1452" s="15"/>
      <c r="P1452" s="15"/>
      <c r="Q1452" s="15"/>
      <c r="R1452" s="15"/>
      <c r="S1452" s="15"/>
    </row>
    <row r="1453" spans="1:19" s="50" customFormat="1" ht="46.8" x14ac:dyDescent="0.25">
      <c r="A1453" s="94"/>
      <c r="B1453" s="3" t="s">
        <v>204</v>
      </c>
      <c r="C1453" s="2">
        <v>953</v>
      </c>
      <c r="D1453" s="39" t="s">
        <v>21</v>
      </c>
      <c r="E1453" s="39" t="s">
        <v>6</v>
      </c>
      <c r="F1453" s="39" t="s">
        <v>21</v>
      </c>
      <c r="G1453" s="2">
        <v>1</v>
      </c>
      <c r="H1453" s="39" t="s">
        <v>2</v>
      </c>
      <c r="I1453" s="39" t="s">
        <v>249</v>
      </c>
      <c r="J1453" s="39"/>
      <c r="K1453" s="6">
        <f>SUM(K1454:K1455)</f>
        <v>13021.199999999999</v>
      </c>
      <c r="L1453" s="15"/>
      <c r="M1453" s="15"/>
      <c r="N1453" s="15"/>
      <c r="O1453" s="15"/>
      <c r="P1453" s="15"/>
      <c r="Q1453" s="15"/>
      <c r="R1453" s="15"/>
      <c r="S1453" s="15"/>
    </row>
    <row r="1454" spans="1:19" s="50" customFormat="1" ht="31.2" x14ac:dyDescent="0.25">
      <c r="A1454" s="94"/>
      <c r="B1454" s="1" t="s">
        <v>123</v>
      </c>
      <c r="C1454" s="2">
        <v>953</v>
      </c>
      <c r="D1454" s="39" t="s">
        <v>21</v>
      </c>
      <c r="E1454" s="39" t="s">
        <v>6</v>
      </c>
      <c r="F1454" s="39" t="s">
        <v>21</v>
      </c>
      <c r="G1454" s="2">
        <v>1</v>
      </c>
      <c r="H1454" s="39" t="s">
        <v>2</v>
      </c>
      <c r="I1454" s="39" t="s">
        <v>249</v>
      </c>
      <c r="J1454" s="39" t="s">
        <v>49</v>
      </c>
      <c r="K1454" s="6">
        <f>200-200</f>
        <v>0</v>
      </c>
      <c r="L1454" s="15"/>
      <c r="M1454" s="15"/>
      <c r="N1454" s="15"/>
      <c r="O1454" s="15"/>
      <c r="P1454" s="15"/>
      <c r="Q1454" s="15"/>
      <c r="R1454" s="15"/>
      <c r="S1454" s="15"/>
    </row>
    <row r="1455" spans="1:19" s="50" customFormat="1" x14ac:dyDescent="0.25">
      <c r="A1455" s="94"/>
      <c r="B1455" s="1" t="s">
        <v>55</v>
      </c>
      <c r="C1455" s="2">
        <v>953</v>
      </c>
      <c r="D1455" s="39" t="s">
        <v>21</v>
      </c>
      <c r="E1455" s="39" t="s">
        <v>6</v>
      </c>
      <c r="F1455" s="39" t="s">
        <v>21</v>
      </c>
      <c r="G1455" s="2">
        <v>1</v>
      </c>
      <c r="H1455" s="39" t="s">
        <v>2</v>
      </c>
      <c r="I1455" s="37" t="s">
        <v>249</v>
      </c>
      <c r="J1455" s="39" t="s">
        <v>56</v>
      </c>
      <c r="K1455" s="6">
        <f>15236.8-2215.6</f>
        <v>13021.199999999999</v>
      </c>
      <c r="L1455" s="15"/>
      <c r="M1455" s="15"/>
      <c r="N1455" s="15"/>
      <c r="O1455" s="15"/>
      <c r="P1455" s="15"/>
      <c r="Q1455" s="15"/>
      <c r="R1455" s="15"/>
      <c r="S1455" s="15"/>
    </row>
    <row r="1456" spans="1:19" s="50" customFormat="1" ht="62.4" x14ac:dyDescent="0.25">
      <c r="A1456" s="94"/>
      <c r="B1456" s="62" t="s">
        <v>258</v>
      </c>
      <c r="C1456" s="2">
        <v>953</v>
      </c>
      <c r="D1456" s="39" t="s">
        <v>21</v>
      </c>
      <c r="E1456" s="39" t="s">
        <v>6</v>
      </c>
      <c r="F1456" s="37" t="s">
        <v>21</v>
      </c>
      <c r="G1456" s="2">
        <v>1</v>
      </c>
      <c r="H1456" s="37" t="s">
        <v>2</v>
      </c>
      <c r="I1456" s="37" t="s">
        <v>257</v>
      </c>
      <c r="J1456" s="37"/>
      <c r="K1456" s="6">
        <f>K1457</f>
        <v>120</v>
      </c>
      <c r="L1456" s="15"/>
      <c r="M1456" s="15"/>
      <c r="N1456" s="15"/>
      <c r="O1456" s="15"/>
      <c r="P1456" s="15"/>
      <c r="Q1456" s="15"/>
      <c r="R1456" s="15"/>
      <c r="S1456" s="15"/>
    </row>
    <row r="1457" spans="1:19" s="50" customFormat="1" x14ac:dyDescent="0.25">
      <c r="A1457" s="94"/>
      <c r="B1457" s="1" t="s">
        <v>55</v>
      </c>
      <c r="C1457" s="2">
        <v>953</v>
      </c>
      <c r="D1457" s="39" t="s">
        <v>21</v>
      </c>
      <c r="E1457" s="39" t="s">
        <v>6</v>
      </c>
      <c r="F1457" s="37" t="s">
        <v>21</v>
      </c>
      <c r="G1457" s="2">
        <v>1</v>
      </c>
      <c r="H1457" s="37" t="s">
        <v>2</v>
      </c>
      <c r="I1457" s="37" t="s">
        <v>257</v>
      </c>
      <c r="J1457" s="37" t="s">
        <v>56</v>
      </c>
      <c r="K1457" s="6">
        <v>120</v>
      </c>
      <c r="L1457" s="15"/>
      <c r="M1457" s="15"/>
      <c r="N1457" s="15"/>
      <c r="O1457" s="15"/>
      <c r="P1457" s="15"/>
      <c r="Q1457" s="15"/>
      <c r="R1457" s="15"/>
      <c r="S1457" s="15"/>
    </row>
    <row r="1458" spans="1:19" s="50" customFormat="1" ht="156" x14ac:dyDescent="0.25">
      <c r="A1458" s="94"/>
      <c r="B1458" s="56" t="s">
        <v>275</v>
      </c>
      <c r="C1458" s="2">
        <v>953</v>
      </c>
      <c r="D1458" s="39" t="s">
        <v>21</v>
      </c>
      <c r="E1458" s="39" t="s">
        <v>6</v>
      </c>
      <c r="F1458" s="37" t="s">
        <v>21</v>
      </c>
      <c r="G1458" s="2">
        <v>1</v>
      </c>
      <c r="H1458" s="37" t="s">
        <v>2</v>
      </c>
      <c r="I1458" s="37" t="s">
        <v>276</v>
      </c>
      <c r="J1458" s="37"/>
      <c r="K1458" s="6">
        <f>SUM(K1459)</f>
        <v>0</v>
      </c>
      <c r="L1458" s="15"/>
      <c r="M1458" s="15"/>
      <c r="N1458" s="15"/>
      <c r="O1458" s="15"/>
      <c r="P1458" s="15"/>
      <c r="Q1458" s="15"/>
      <c r="R1458" s="15"/>
      <c r="S1458" s="15"/>
    </row>
    <row r="1459" spans="1:19" s="50" customFormat="1" x14ac:dyDescent="0.25">
      <c r="A1459" s="94"/>
      <c r="B1459" s="56" t="s">
        <v>55</v>
      </c>
      <c r="C1459" s="2">
        <v>953</v>
      </c>
      <c r="D1459" s="39" t="s">
        <v>21</v>
      </c>
      <c r="E1459" s="39" t="s">
        <v>6</v>
      </c>
      <c r="F1459" s="37" t="s">
        <v>21</v>
      </c>
      <c r="G1459" s="2">
        <v>1</v>
      </c>
      <c r="H1459" s="37" t="s">
        <v>2</v>
      </c>
      <c r="I1459" s="37" t="s">
        <v>276</v>
      </c>
      <c r="J1459" s="37" t="s">
        <v>56</v>
      </c>
      <c r="K1459" s="6"/>
      <c r="L1459" s="15"/>
      <c r="M1459" s="15"/>
      <c r="N1459" s="15"/>
      <c r="O1459" s="15"/>
      <c r="P1459" s="15"/>
      <c r="Q1459" s="15"/>
      <c r="R1459" s="15"/>
      <c r="S1459" s="15"/>
    </row>
    <row r="1460" spans="1:19" s="50" customFormat="1" ht="97.5" customHeight="1" x14ac:dyDescent="0.25">
      <c r="A1460" s="94"/>
      <c r="B1460" s="62" t="s">
        <v>260</v>
      </c>
      <c r="C1460" s="2">
        <v>953</v>
      </c>
      <c r="D1460" s="39" t="s">
        <v>21</v>
      </c>
      <c r="E1460" s="39" t="s">
        <v>6</v>
      </c>
      <c r="F1460" s="37" t="s">
        <v>21</v>
      </c>
      <c r="G1460" s="2">
        <v>1</v>
      </c>
      <c r="H1460" s="37" t="s">
        <v>2</v>
      </c>
      <c r="I1460" s="37" t="s">
        <v>259</v>
      </c>
      <c r="J1460" s="37"/>
      <c r="K1460" s="6">
        <f>K1461</f>
        <v>0</v>
      </c>
      <c r="L1460" s="15"/>
      <c r="M1460" s="15"/>
      <c r="N1460" s="15"/>
      <c r="O1460" s="15"/>
      <c r="P1460" s="15"/>
      <c r="Q1460" s="15"/>
      <c r="R1460" s="15"/>
      <c r="S1460" s="15"/>
    </row>
    <row r="1461" spans="1:19" s="50" customFormat="1" x14ac:dyDescent="0.25">
      <c r="A1461" s="94"/>
      <c r="B1461" s="1" t="s">
        <v>55</v>
      </c>
      <c r="C1461" s="2">
        <v>953</v>
      </c>
      <c r="D1461" s="39" t="s">
        <v>21</v>
      </c>
      <c r="E1461" s="39" t="s">
        <v>6</v>
      </c>
      <c r="F1461" s="37" t="s">
        <v>21</v>
      </c>
      <c r="G1461" s="2">
        <v>1</v>
      </c>
      <c r="H1461" s="37" t="s">
        <v>2</v>
      </c>
      <c r="I1461" s="37" t="s">
        <v>259</v>
      </c>
      <c r="J1461" s="37" t="s">
        <v>56</v>
      </c>
      <c r="K1461" s="6"/>
      <c r="L1461" s="15"/>
      <c r="M1461" s="15"/>
      <c r="N1461" s="15"/>
      <c r="O1461" s="15"/>
      <c r="P1461" s="15"/>
      <c r="Q1461" s="15"/>
      <c r="R1461" s="15"/>
      <c r="S1461" s="15"/>
    </row>
    <row r="1462" spans="1:19" s="50" customFormat="1" x14ac:dyDescent="0.25">
      <c r="A1462" s="94"/>
      <c r="B1462" s="1" t="s">
        <v>62</v>
      </c>
      <c r="C1462" s="2">
        <v>953</v>
      </c>
      <c r="D1462" s="39" t="s">
        <v>21</v>
      </c>
      <c r="E1462" s="39" t="s">
        <v>30</v>
      </c>
      <c r="F1462" s="39"/>
      <c r="G1462" s="2"/>
      <c r="H1462" s="39"/>
      <c r="I1462" s="39"/>
      <c r="J1462" s="39"/>
      <c r="K1462" s="6">
        <f t="shared" ref="K1462:K1464" si="64">SUM(K1463)</f>
        <v>13458.1</v>
      </c>
      <c r="L1462" s="15"/>
      <c r="M1462" s="15"/>
      <c r="N1462" s="15"/>
      <c r="O1462" s="15"/>
      <c r="P1462" s="15"/>
      <c r="Q1462" s="15"/>
      <c r="R1462" s="15"/>
      <c r="S1462" s="15"/>
    </row>
    <row r="1463" spans="1:19" s="50" customFormat="1" ht="31.2" x14ac:dyDescent="0.25">
      <c r="A1463" s="94"/>
      <c r="B1463" s="40" t="s">
        <v>445</v>
      </c>
      <c r="C1463" s="2">
        <v>953</v>
      </c>
      <c r="D1463" s="39" t="s">
        <v>21</v>
      </c>
      <c r="E1463" s="39" t="s">
        <v>30</v>
      </c>
      <c r="F1463" s="39" t="s">
        <v>21</v>
      </c>
      <c r="G1463" s="2"/>
      <c r="H1463" s="39"/>
      <c r="I1463" s="39"/>
      <c r="J1463" s="39"/>
      <c r="K1463" s="6">
        <f t="shared" si="64"/>
        <v>13458.1</v>
      </c>
      <c r="L1463" s="15"/>
      <c r="M1463" s="15"/>
      <c r="N1463" s="15"/>
      <c r="O1463" s="15"/>
      <c r="P1463" s="15"/>
      <c r="Q1463" s="15"/>
      <c r="R1463" s="15"/>
      <c r="S1463" s="15"/>
    </row>
    <row r="1464" spans="1:19" s="50" customFormat="1" ht="31.2" x14ac:dyDescent="0.25">
      <c r="A1464" s="94"/>
      <c r="B1464" s="40" t="s">
        <v>446</v>
      </c>
      <c r="C1464" s="2">
        <v>953</v>
      </c>
      <c r="D1464" s="39" t="s">
        <v>21</v>
      </c>
      <c r="E1464" s="39" t="s">
        <v>30</v>
      </c>
      <c r="F1464" s="39" t="s">
        <v>21</v>
      </c>
      <c r="G1464" s="2">
        <v>1</v>
      </c>
      <c r="H1464" s="39"/>
      <c r="I1464" s="39"/>
      <c r="J1464" s="39"/>
      <c r="K1464" s="6">
        <f t="shared" si="64"/>
        <v>13458.1</v>
      </c>
      <c r="L1464" s="15"/>
      <c r="M1464" s="15"/>
      <c r="N1464" s="15"/>
      <c r="O1464" s="15"/>
      <c r="P1464" s="15"/>
      <c r="Q1464" s="15"/>
      <c r="R1464" s="15"/>
      <c r="S1464" s="15"/>
    </row>
    <row r="1465" spans="1:19" s="50" customFormat="1" x14ac:dyDescent="0.25">
      <c r="A1465" s="94"/>
      <c r="B1465" s="1" t="s">
        <v>120</v>
      </c>
      <c r="C1465" s="2">
        <v>953</v>
      </c>
      <c r="D1465" s="39" t="s">
        <v>21</v>
      </c>
      <c r="E1465" s="39" t="s">
        <v>30</v>
      </c>
      <c r="F1465" s="39" t="s">
        <v>21</v>
      </c>
      <c r="G1465" s="2">
        <v>1</v>
      </c>
      <c r="H1465" s="39" t="s">
        <v>2</v>
      </c>
      <c r="I1465" s="39"/>
      <c r="J1465" s="39"/>
      <c r="K1465" s="6">
        <f>SUM(K1472+K1469+K1466)</f>
        <v>13458.1</v>
      </c>
      <c r="L1465" s="15"/>
      <c r="M1465" s="15"/>
      <c r="N1465" s="15"/>
      <c r="O1465" s="15"/>
      <c r="P1465" s="15"/>
      <c r="Q1465" s="15"/>
      <c r="R1465" s="15"/>
      <c r="S1465" s="15"/>
    </row>
    <row r="1466" spans="1:19" s="50" customFormat="1" ht="140.4" x14ac:dyDescent="0.25">
      <c r="A1466" s="94"/>
      <c r="B1466" s="54" t="s">
        <v>206</v>
      </c>
      <c r="C1466" s="2">
        <v>953</v>
      </c>
      <c r="D1466" s="39" t="s">
        <v>21</v>
      </c>
      <c r="E1466" s="39" t="s">
        <v>30</v>
      </c>
      <c r="F1466" s="39" t="s">
        <v>21</v>
      </c>
      <c r="G1466" s="2">
        <v>1</v>
      </c>
      <c r="H1466" s="39" t="s">
        <v>2</v>
      </c>
      <c r="I1466" s="39" t="s">
        <v>253</v>
      </c>
      <c r="J1466" s="39"/>
      <c r="K1466" s="6">
        <f>SUM(K1467:K1468)</f>
        <v>1242.2</v>
      </c>
      <c r="L1466" s="15"/>
      <c r="M1466" s="15"/>
      <c r="N1466" s="15"/>
      <c r="O1466" s="15"/>
      <c r="P1466" s="15"/>
      <c r="Q1466" s="15"/>
      <c r="R1466" s="15"/>
      <c r="S1466" s="15"/>
    </row>
    <row r="1467" spans="1:19" s="50" customFormat="1" ht="47.25" customHeight="1" x14ac:dyDescent="0.25">
      <c r="A1467" s="94"/>
      <c r="B1467" s="1" t="s">
        <v>122</v>
      </c>
      <c r="C1467" s="2">
        <v>953</v>
      </c>
      <c r="D1467" s="39" t="s">
        <v>21</v>
      </c>
      <c r="E1467" s="39" t="s">
        <v>30</v>
      </c>
      <c r="F1467" s="39" t="s">
        <v>21</v>
      </c>
      <c r="G1467" s="2">
        <v>1</v>
      </c>
      <c r="H1467" s="39" t="s">
        <v>2</v>
      </c>
      <c r="I1467" s="39" t="s">
        <v>253</v>
      </c>
      <c r="J1467" s="37" t="s">
        <v>48</v>
      </c>
      <c r="K1467" s="6">
        <f>1087-13.2</f>
        <v>1073.8</v>
      </c>
      <c r="L1467" s="15"/>
      <c r="M1467" s="15"/>
      <c r="N1467" s="15"/>
      <c r="O1467" s="15"/>
      <c r="P1467" s="15"/>
      <c r="Q1467" s="15"/>
      <c r="R1467" s="15"/>
      <c r="S1467" s="15"/>
    </row>
    <row r="1468" spans="1:19" s="50" customFormat="1" ht="31.2" x14ac:dyDescent="0.25">
      <c r="A1468" s="94"/>
      <c r="B1468" s="1" t="s">
        <v>123</v>
      </c>
      <c r="C1468" s="2">
        <v>953</v>
      </c>
      <c r="D1468" s="39" t="s">
        <v>21</v>
      </c>
      <c r="E1468" s="39" t="s">
        <v>30</v>
      </c>
      <c r="F1468" s="39" t="s">
        <v>21</v>
      </c>
      <c r="G1468" s="2">
        <v>1</v>
      </c>
      <c r="H1468" s="39" t="s">
        <v>2</v>
      </c>
      <c r="I1468" s="39" t="s">
        <v>253</v>
      </c>
      <c r="J1468" s="37" t="s">
        <v>49</v>
      </c>
      <c r="K1468" s="6">
        <v>168.4</v>
      </c>
      <c r="L1468" s="15"/>
      <c r="M1468" s="15"/>
      <c r="N1468" s="15"/>
      <c r="O1468" s="15"/>
      <c r="P1468" s="15"/>
      <c r="Q1468" s="15"/>
      <c r="R1468" s="15"/>
      <c r="S1468" s="15"/>
    </row>
    <row r="1469" spans="1:19" ht="46.8" x14ac:dyDescent="0.25">
      <c r="A1469" s="94"/>
      <c r="B1469" s="40" t="s">
        <v>252</v>
      </c>
      <c r="C1469" s="2">
        <v>953</v>
      </c>
      <c r="D1469" s="39" t="s">
        <v>21</v>
      </c>
      <c r="E1469" s="39" t="s">
        <v>30</v>
      </c>
      <c r="F1469" s="39" t="s">
        <v>21</v>
      </c>
      <c r="G1469" s="2">
        <v>1</v>
      </c>
      <c r="H1469" s="39" t="s">
        <v>2</v>
      </c>
      <c r="I1469" s="39" t="s">
        <v>251</v>
      </c>
      <c r="J1469" s="39"/>
      <c r="K1469" s="6">
        <f>SUM(K1470:K1471)</f>
        <v>923.30000000000007</v>
      </c>
      <c r="L1469" s="63"/>
    </row>
    <row r="1470" spans="1:19" ht="46.5" customHeight="1" x14ac:dyDescent="0.25">
      <c r="A1470" s="94"/>
      <c r="B1470" s="1" t="s">
        <v>122</v>
      </c>
      <c r="C1470" s="2">
        <v>953</v>
      </c>
      <c r="D1470" s="39" t="s">
        <v>21</v>
      </c>
      <c r="E1470" s="39" t="s">
        <v>30</v>
      </c>
      <c r="F1470" s="39" t="s">
        <v>21</v>
      </c>
      <c r="G1470" s="2">
        <v>1</v>
      </c>
      <c r="H1470" s="39" t="s">
        <v>2</v>
      </c>
      <c r="I1470" s="39" t="s">
        <v>251</v>
      </c>
      <c r="J1470" s="37" t="s">
        <v>48</v>
      </c>
      <c r="K1470" s="6">
        <f>849.4-10.3</f>
        <v>839.1</v>
      </c>
    </row>
    <row r="1471" spans="1:19" ht="31.2" x14ac:dyDescent="0.25">
      <c r="A1471" s="94"/>
      <c r="B1471" s="1" t="s">
        <v>123</v>
      </c>
      <c r="C1471" s="2">
        <v>953</v>
      </c>
      <c r="D1471" s="39" t="s">
        <v>21</v>
      </c>
      <c r="E1471" s="39" t="s">
        <v>30</v>
      </c>
      <c r="F1471" s="39" t="s">
        <v>21</v>
      </c>
      <c r="G1471" s="2">
        <v>1</v>
      </c>
      <c r="H1471" s="39" t="s">
        <v>2</v>
      </c>
      <c r="I1471" s="39" t="s">
        <v>251</v>
      </c>
      <c r="J1471" s="37" t="s">
        <v>49</v>
      </c>
      <c r="K1471" s="6">
        <v>84.2</v>
      </c>
    </row>
    <row r="1472" spans="1:19" ht="46.8" x14ac:dyDescent="0.25">
      <c r="A1472" s="94"/>
      <c r="B1472" s="1" t="s">
        <v>205</v>
      </c>
      <c r="C1472" s="2">
        <v>953</v>
      </c>
      <c r="D1472" s="39" t="s">
        <v>21</v>
      </c>
      <c r="E1472" s="39" t="s">
        <v>30</v>
      </c>
      <c r="F1472" s="39" t="s">
        <v>21</v>
      </c>
      <c r="G1472" s="2">
        <v>1</v>
      </c>
      <c r="H1472" s="39" t="s">
        <v>2</v>
      </c>
      <c r="I1472" s="39" t="s">
        <v>250</v>
      </c>
      <c r="J1472" s="39"/>
      <c r="K1472" s="6">
        <f>SUM(K1473:K1475)</f>
        <v>11292.6</v>
      </c>
    </row>
    <row r="1473" spans="1:19" ht="49.5" customHeight="1" x14ac:dyDescent="0.25">
      <c r="A1473" s="94"/>
      <c r="B1473" s="1" t="s">
        <v>122</v>
      </c>
      <c r="C1473" s="2">
        <v>953</v>
      </c>
      <c r="D1473" s="39" t="s">
        <v>21</v>
      </c>
      <c r="E1473" s="39" t="s">
        <v>30</v>
      </c>
      <c r="F1473" s="39" t="s">
        <v>21</v>
      </c>
      <c r="G1473" s="2">
        <v>1</v>
      </c>
      <c r="H1473" s="39" t="s">
        <v>2</v>
      </c>
      <c r="I1473" s="39" t="s">
        <v>250</v>
      </c>
      <c r="J1473" s="37" t="s">
        <v>48</v>
      </c>
      <c r="K1473" s="6">
        <f>10492.9-126.5</f>
        <v>10366.4</v>
      </c>
    </row>
    <row r="1474" spans="1:19" ht="31.2" x14ac:dyDescent="0.25">
      <c r="A1474" s="94"/>
      <c r="B1474" s="1" t="s">
        <v>123</v>
      </c>
      <c r="C1474" s="2">
        <v>953</v>
      </c>
      <c r="D1474" s="39" t="s">
        <v>21</v>
      </c>
      <c r="E1474" s="39" t="s">
        <v>30</v>
      </c>
      <c r="F1474" s="39" t="s">
        <v>21</v>
      </c>
      <c r="G1474" s="2">
        <v>1</v>
      </c>
      <c r="H1474" s="39" t="s">
        <v>2</v>
      </c>
      <c r="I1474" s="39" t="s">
        <v>250</v>
      </c>
      <c r="J1474" s="37" t="s">
        <v>49</v>
      </c>
      <c r="K1474" s="6">
        <v>926.2</v>
      </c>
    </row>
    <row r="1475" spans="1:19" x14ac:dyDescent="0.25">
      <c r="A1475" s="94"/>
      <c r="B1475" s="1" t="s">
        <v>50</v>
      </c>
      <c r="C1475" s="2">
        <v>953</v>
      </c>
      <c r="D1475" s="39" t="s">
        <v>21</v>
      </c>
      <c r="E1475" s="39" t="s">
        <v>30</v>
      </c>
      <c r="F1475" s="39" t="s">
        <v>21</v>
      </c>
      <c r="G1475" s="2">
        <v>1</v>
      </c>
      <c r="H1475" s="39" t="s">
        <v>2</v>
      </c>
      <c r="I1475" s="64" t="s">
        <v>250</v>
      </c>
      <c r="J1475" s="37" t="s">
        <v>51</v>
      </c>
      <c r="K1475" s="6"/>
    </row>
    <row r="1476" spans="1:19" ht="18" x14ac:dyDescent="0.25">
      <c r="A1476" s="65"/>
      <c r="D1476" s="65"/>
      <c r="K1476" s="8" t="s">
        <v>532</v>
      </c>
    </row>
    <row r="1477" spans="1:19" ht="18" x14ac:dyDescent="0.35">
      <c r="A1477" s="65"/>
      <c r="K1477" s="9"/>
    </row>
    <row r="1478" spans="1:19" ht="18.75" customHeight="1" x14ac:dyDescent="0.35">
      <c r="A1478" s="101" t="s">
        <v>663</v>
      </c>
      <c r="B1478" s="101"/>
      <c r="C1478" s="82"/>
      <c r="D1478" s="83"/>
      <c r="E1478" s="84"/>
      <c r="F1478" s="84"/>
      <c r="G1478" s="84"/>
      <c r="H1478" s="67"/>
      <c r="I1478" s="67"/>
      <c r="J1478" s="67"/>
      <c r="K1478" s="10"/>
    </row>
    <row r="1479" spans="1:19" ht="18.75" customHeight="1" x14ac:dyDescent="0.35">
      <c r="A1479" s="100" t="s">
        <v>660</v>
      </c>
      <c r="B1479" s="100"/>
      <c r="C1479" s="85"/>
      <c r="D1479" s="86"/>
      <c r="E1479" s="86"/>
      <c r="F1479" s="86"/>
      <c r="G1479" s="84"/>
    </row>
    <row r="1480" spans="1:19" ht="18.75" customHeight="1" x14ac:dyDescent="0.25">
      <c r="A1480" s="101" t="s">
        <v>661</v>
      </c>
      <c r="B1480" s="101"/>
      <c r="C1480" s="86"/>
      <c r="D1480" s="83"/>
      <c r="E1480" s="86"/>
      <c r="F1480" s="86"/>
      <c r="I1480" s="92" t="s">
        <v>662</v>
      </c>
      <c r="J1480" s="92"/>
      <c r="K1480" s="92"/>
    </row>
    <row r="1481" spans="1:19" x14ac:dyDescent="0.25">
      <c r="A1481" s="65"/>
    </row>
    <row r="1482" spans="1:19" x14ac:dyDescent="0.25">
      <c r="A1482" s="65"/>
    </row>
    <row r="1483" spans="1:19" x14ac:dyDescent="0.25">
      <c r="A1483" s="65"/>
    </row>
    <row r="1484" spans="1:19" x14ac:dyDescent="0.25">
      <c r="A1484" s="65"/>
    </row>
    <row r="1485" spans="1:19" s="13" customFormat="1" x14ac:dyDescent="0.25">
      <c r="A1485" s="65"/>
      <c r="B1485" s="12"/>
      <c r="D1485" s="14"/>
      <c r="E1485" s="14"/>
      <c r="F1485" s="14"/>
      <c r="H1485" s="14"/>
      <c r="I1485" s="14"/>
      <c r="J1485" s="14"/>
      <c r="K1485" s="4"/>
      <c r="L1485" s="15"/>
      <c r="M1485" s="15"/>
      <c r="N1485" s="15"/>
      <c r="O1485" s="15"/>
      <c r="P1485" s="15"/>
      <c r="Q1485" s="15"/>
      <c r="R1485" s="15"/>
      <c r="S1485" s="15"/>
    </row>
    <row r="1486" spans="1:19" s="13" customFormat="1" x14ac:dyDescent="0.25">
      <c r="A1486" s="65"/>
      <c r="B1486" s="12"/>
      <c r="D1486" s="14"/>
      <c r="E1486" s="14"/>
      <c r="F1486" s="14"/>
      <c r="H1486" s="14"/>
      <c r="I1486" s="14"/>
      <c r="J1486" s="14"/>
      <c r="K1486" s="4"/>
      <c r="L1486" s="15"/>
      <c r="M1486" s="15"/>
      <c r="N1486" s="15"/>
      <c r="O1486" s="15"/>
      <c r="P1486" s="15"/>
      <c r="Q1486" s="15"/>
      <c r="R1486" s="15"/>
      <c r="S1486" s="15"/>
    </row>
    <row r="1487" spans="1:19" s="13" customFormat="1" x14ac:dyDescent="0.25">
      <c r="A1487" s="65"/>
      <c r="B1487" s="12"/>
      <c r="D1487" s="14"/>
      <c r="F1487" s="14"/>
      <c r="H1487" s="14"/>
      <c r="I1487" s="14"/>
      <c r="K1487" s="4"/>
      <c r="L1487" s="15"/>
      <c r="M1487" s="15"/>
      <c r="N1487" s="15"/>
      <c r="O1487" s="15"/>
      <c r="P1487" s="15"/>
      <c r="Q1487" s="15"/>
      <c r="R1487" s="15"/>
      <c r="S1487" s="15"/>
    </row>
    <row r="1488" spans="1:19" s="13" customFormat="1" x14ac:dyDescent="0.25">
      <c r="A1488" s="65"/>
      <c r="B1488" s="12"/>
      <c r="F1488" s="14"/>
      <c r="H1488" s="14"/>
      <c r="I1488" s="14"/>
      <c r="K1488" s="4"/>
      <c r="L1488" s="15"/>
      <c r="M1488" s="15"/>
      <c r="N1488" s="15"/>
      <c r="O1488" s="15"/>
      <c r="P1488" s="15"/>
      <c r="Q1488" s="15"/>
      <c r="R1488" s="15"/>
      <c r="S1488" s="15"/>
    </row>
    <row r="1489" spans="1:19" s="13" customFormat="1" x14ac:dyDescent="0.25">
      <c r="A1489" s="65"/>
      <c r="B1489" s="12"/>
      <c r="E1489" s="14"/>
      <c r="F1489" s="14"/>
      <c r="H1489" s="14"/>
      <c r="I1489" s="14"/>
      <c r="J1489" s="14"/>
      <c r="K1489" s="4"/>
      <c r="L1489" s="15"/>
      <c r="M1489" s="15"/>
      <c r="N1489" s="15"/>
      <c r="O1489" s="15"/>
      <c r="P1489" s="15"/>
      <c r="Q1489" s="15"/>
      <c r="R1489" s="15"/>
      <c r="S1489" s="15"/>
    </row>
    <row r="1490" spans="1:19" s="13" customFormat="1" x14ac:dyDescent="0.25">
      <c r="A1490" s="65"/>
      <c r="B1490" s="12"/>
      <c r="D1490" s="14"/>
      <c r="F1490" s="14"/>
      <c r="H1490" s="14"/>
      <c r="I1490" s="14"/>
      <c r="K1490" s="4"/>
      <c r="L1490" s="15"/>
      <c r="M1490" s="15"/>
      <c r="N1490" s="15"/>
      <c r="O1490" s="15"/>
      <c r="P1490" s="15"/>
      <c r="Q1490" s="15"/>
      <c r="R1490" s="15"/>
      <c r="S1490" s="15"/>
    </row>
    <row r="1491" spans="1:19" s="13" customFormat="1" x14ac:dyDescent="0.25">
      <c r="A1491" s="65"/>
      <c r="B1491" s="12"/>
      <c r="E1491" s="14"/>
      <c r="F1491" s="14"/>
      <c r="H1491" s="14"/>
      <c r="I1491" s="14"/>
      <c r="J1491" s="14"/>
      <c r="K1491" s="4"/>
      <c r="L1491" s="15"/>
      <c r="M1491" s="15"/>
      <c r="N1491" s="15"/>
      <c r="O1491" s="15"/>
      <c r="P1491" s="15"/>
      <c r="Q1491" s="15"/>
      <c r="R1491" s="15"/>
      <c r="S1491" s="15"/>
    </row>
    <row r="1492" spans="1:19" s="13" customFormat="1" x14ac:dyDescent="0.25">
      <c r="A1492" s="65"/>
      <c r="B1492" s="12"/>
      <c r="D1492" s="14"/>
      <c r="E1492" s="14"/>
      <c r="F1492" s="14"/>
      <c r="H1492" s="14"/>
      <c r="I1492" s="14"/>
      <c r="J1492" s="14"/>
      <c r="K1492" s="4"/>
      <c r="L1492" s="15"/>
      <c r="M1492" s="15"/>
      <c r="N1492" s="15"/>
      <c r="O1492" s="15"/>
      <c r="P1492" s="15"/>
      <c r="Q1492" s="15"/>
      <c r="R1492" s="15"/>
      <c r="S1492" s="15"/>
    </row>
    <row r="1493" spans="1:19" s="13" customFormat="1" x14ac:dyDescent="0.25">
      <c r="A1493" s="65"/>
      <c r="B1493" s="12"/>
      <c r="D1493" s="14"/>
      <c r="E1493" s="14"/>
      <c r="F1493" s="14"/>
      <c r="H1493" s="14"/>
      <c r="I1493" s="14"/>
      <c r="J1493" s="14"/>
      <c r="K1493" s="4"/>
      <c r="L1493" s="15"/>
      <c r="M1493" s="15"/>
      <c r="N1493" s="15"/>
      <c r="O1493" s="15"/>
      <c r="P1493" s="15"/>
      <c r="Q1493" s="15"/>
      <c r="R1493" s="15"/>
      <c r="S1493" s="15"/>
    </row>
    <row r="1494" spans="1:19" s="13" customFormat="1" x14ac:dyDescent="0.25">
      <c r="A1494" s="65"/>
      <c r="B1494" s="12"/>
      <c r="D1494" s="14"/>
      <c r="E1494" s="14"/>
      <c r="F1494" s="14"/>
      <c r="H1494" s="14"/>
      <c r="I1494" s="14"/>
      <c r="J1494" s="14"/>
      <c r="K1494" s="4"/>
      <c r="L1494" s="15"/>
      <c r="M1494" s="15"/>
      <c r="N1494" s="15"/>
      <c r="O1494" s="15"/>
      <c r="P1494" s="15"/>
      <c r="Q1494" s="15"/>
      <c r="R1494" s="15"/>
      <c r="S1494" s="15"/>
    </row>
    <row r="1495" spans="1:19" s="13" customFormat="1" x14ac:dyDescent="0.25">
      <c r="A1495" s="65"/>
      <c r="B1495" s="12"/>
      <c r="D1495" s="14"/>
      <c r="E1495" s="14"/>
      <c r="F1495" s="14"/>
      <c r="H1495" s="14"/>
      <c r="I1495" s="14"/>
      <c r="J1495" s="14"/>
      <c r="K1495" s="4"/>
      <c r="L1495" s="15"/>
      <c r="M1495" s="15"/>
      <c r="N1495" s="15"/>
      <c r="O1495" s="15"/>
      <c r="P1495" s="15"/>
      <c r="Q1495" s="15"/>
      <c r="R1495" s="15"/>
      <c r="S1495" s="15"/>
    </row>
    <row r="1496" spans="1:19" s="13" customFormat="1" x14ac:dyDescent="0.25">
      <c r="A1496" s="65"/>
      <c r="B1496" s="12"/>
      <c r="D1496" s="14"/>
      <c r="E1496" s="14"/>
      <c r="F1496" s="14"/>
      <c r="H1496" s="14"/>
      <c r="I1496" s="14"/>
      <c r="J1496" s="14"/>
      <c r="K1496" s="4"/>
      <c r="L1496" s="15"/>
      <c r="M1496" s="15"/>
      <c r="N1496" s="15"/>
      <c r="O1496" s="15"/>
      <c r="P1496" s="15"/>
      <c r="Q1496" s="15"/>
      <c r="R1496" s="15"/>
      <c r="S1496" s="15"/>
    </row>
    <row r="1497" spans="1:19" s="13" customFormat="1" x14ac:dyDescent="0.25">
      <c r="A1497" s="65"/>
      <c r="B1497" s="12"/>
      <c r="D1497" s="14"/>
      <c r="F1497" s="14"/>
      <c r="H1497" s="14"/>
      <c r="I1497" s="14"/>
      <c r="K1497" s="4"/>
      <c r="L1497" s="15"/>
      <c r="M1497" s="15"/>
      <c r="N1497" s="15"/>
      <c r="O1497" s="15"/>
      <c r="P1497" s="15"/>
      <c r="Q1497" s="15"/>
      <c r="R1497" s="15"/>
      <c r="S1497" s="15"/>
    </row>
    <row r="1498" spans="1:19" s="13" customFormat="1" x14ac:dyDescent="0.25">
      <c r="A1498" s="65"/>
      <c r="B1498" s="12"/>
      <c r="E1498" s="14"/>
      <c r="F1498" s="14"/>
      <c r="H1498" s="14"/>
      <c r="I1498" s="14"/>
      <c r="J1498" s="14"/>
      <c r="K1498" s="4"/>
      <c r="L1498" s="15"/>
      <c r="M1498" s="15"/>
      <c r="N1498" s="15"/>
      <c r="O1498" s="15"/>
      <c r="P1498" s="15"/>
      <c r="Q1498" s="15"/>
      <c r="R1498" s="15"/>
      <c r="S1498" s="15"/>
    </row>
    <row r="1499" spans="1:19" s="13" customFormat="1" x14ac:dyDescent="0.25">
      <c r="A1499" s="65"/>
      <c r="B1499" s="12"/>
      <c r="D1499" s="14"/>
      <c r="E1499" s="14"/>
      <c r="F1499" s="14"/>
      <c r="H1499" s="14"/>
      <c r="I1499" s="14"/>
      <c r="J1499" s="14"/>
      <c r="K1499" s="4"/>
      <c r="L1499" s="15"/>
      <c r="M1499" s="15"/>
      <c r="N1499" s="15"/>
      <c r="O1499" s="15"/>
      <c r="P1499" s="15"/>
      <c r="Q1499" s="15"/>
      <c r="R1499" s="15"/>
      <c r="S1499" s="15"/>
    </row>
    <row r="1500" spans="1:19" s="13" customFormat="1" x14ac:dyDescent="0.25">
      <c r="A1500" s="65"/>
      <c r="B1500" s="12"/>
      <c r="D1500" s="14"/>
      <c r="F1500" s="14"/>
      <c r="H1500" s="14"/>
      <c r="I1500" s="14"/>
      <c r="K1500" s="4"/>
      <c r="L1500" s="15"/>
      <c r="M1500" s="15"/>
      <c r="N1500" s="15"/>
      <c r="O1500" s="15"/>
      <c r="P1500" s="15"/>
      <c r="Q1500" s="15"/>
      <c r="R1500" s="15"/>
      <c r="S1500" s="15"/>
    </row>
    <row r="1501" spans="1:19" x14ac:dyDescent="0.25">
      <c r="A1501" s="65"/>
      <c r="D1501" s="13"/>
    </row>
    <row r="1502" spans="1:19" s="69" customFormat="1" x14ac:dyDescent="0.25">
      <c r="A1502" s="68"/>
      <c r="B1502" s="12"/>
      <c r="C1502" s="13"/>
      <c r="D1502" s="14"/>
      <c r="E1502" s="14"/>
      <c r="F1502" s="14"/>
      <c r="G1502" s="13"/>
      <c r="H1502" s="14"/>
      <c r="I1502" s="14"/>
      <c r="J1502" s="14"/>
      <c r="K1502" s="4"/>
    </row>
    <row r="1503" spans="1:19" s="69" customFormat="1" x14ac:dyDescent="0.25">
      <c r="A1503" s="68"/>
      <c r="B1503" s="12"/>
      <c r="C1503" s="13"/>
      <c r="D1503" s="14"/>
      <c r="E1503" s="14"/>
      <c r="F1503" s="14"/>
      <c r="G1503" s="13"/>
      <c r="H1503" s="14"/>
      <c r="I1503" s="14"/>
      <c r="J1503" s="14"/>
      <c r="K1503" s="4"/>
    </row>
    <row r="1504" spans="1:19" s="66" customFormat="1" ht="18" x14ac:dyDescent="0.25">
      <c r="A1504" s="70"/>
      <c r="B1504" s="12"/>
      <c r="C1504" s="13"/>
      <c r="D1504" s="14"/>
      <c r="E1504" s="14"/>
      <c r="F1504" s="14"/>
      <c r="G1504" s="13"/>
      <c r="H1504" s="14"/>
      <c r="I1504" s="14"/>
      <c r="J1504" s="14"/>
      <c r="K1504" s="4"/>
    </row>
    <row r="1505" spans="1:19" x14ac:dyDescent="0.25">
      <c r="A1505" s="71"/>
    </row>
    <row r="1506" spans="1:19" x14ac:dyDescent="0.25">
      <c r="A1506" s="71"/>
    </row>
    <row r="1507" spans="1:19" x14ac:dyDescent="0.25">
      <c r="A1507" s="71"/>
      <c r="E1507" s="13"/>
      <c r="J1507" s="13"/>
    </row>
    <row r="1508" spans="1:19" x14ac:dyDescent="0.25">
      <c r="A1508" s="71"/>
      <c r="D1508" s="13"/>
    </row>
    <row r="1509" spans="1:19" x14ac:dyDescent="0.25">
      <c r="A1509" s="71"/>
    </row>
    <row r="1510" spans="1:19" x14ac:dyDescent="0.25">
      <c r="A1510" s="71"/>
    </row>
    <row r="1511" spans="1:19" x14ac:dyDescent="0.25">
      <c r="A1511" s="71"/>
    </row>
    <row r="1512" spans="1:19" x14ac:dyDescent="0.25">
      <c r="A1512" s="71"/>
    </row>
    <row r="1513" spans="1:19" x14ac:dyDescent="0.25">
      <c r="A1513" s="71"/>
    </row>
    <row r="1514" spans="1:19" x14ac:dyDescent="0.25">
      <c r="A1514" s="71"/>
    </row>
    <row r="1515" spans="1:19" x14ac:dyDescent="0.25">
      <c r="A1515" s="71"/>
    </row>
    <row r="1516" spans="1:19" x14ac:dyDescent="0.25">
      <c r="A1516" s="71"/>
    </row>
    <row r="1517" spans="1:19" s="13" customFormat="1" x14ac:dyDescent="0.25">
      <c r="A1517" s="71"/>
      <c r="B1517" s="12"/>
      <c r="D1517" s="14"/>
      <c r="E1517" s="14"/>
      <c r="F1517" s="14"/>
      <c r="H1517" s="14"/>
      <c r="I1517" s="14"/>
      <c r="J1517" s="14"/>
      <c r="K1517" s="4"/>
      <c r="L1517" s="15"/>
      <c r="M1517" s="15"/>
      <c r="N1517" s="15"/>
      <c r="O1517" s="15"/>
      <c r="P1517" s="15"/>
      <c r="Q1517" s="15"/>
      <c r="R1517" s="15"/>
      <c r="S1517" s="15"/>
    </row>
    <row r="1518" spans="1:19" s="13" customFormat="1" x14ac:dyDescent="0.25">
      <c r="A1518" s="71"/>
      <c r="B1518" s="12"/>
      <c r="D1518" s="14"/>
      <c r="F1518" s="14"/>
      <c r="H1518" s="14"/>
      <c r="I1518" s="14"/>
      <c r="K1518" s="4"/>
      <c r="L1518" s="15"/>
      <c r="M1518" s="15"/>
      <c r="N1518" s="15"/>
      <c r="O1518" s="15"/>
      <c r="P1518" s="15"/>
      <c r="Q1518" s="15"/>
      <c r="R1518" s="15"/>
      <c r="S1518" s="15"/>
    </row>
    <row r="1519" spans="1:19" s="13" customFormat="1" x14ac:dyDescent="0.25">
      <c r="A1519" s="71"/>
      <c r="B1519" s="12"/>
      <c r="F1519" s="14"/>
      <c r="H1519" s="14"/>
      <c r="I1519" s="14"/>
      <c r="K1519" s="4"/>
      <c r="L1519" s="15"/>
      <c r="M1519" s="15"/>
      <c r="N1519" s="15"/>
      <c r="O1519" s="15"/>
      <c r="P1519" s="15"/>
      <c r="Q1519" s="15"/>
      <c r="R1519" s="15"/>
      <c r="S1519" s="15"/>
    </row>
    <row r="1520" spans="1:19" s="13" customFormat="1" x14ac:dyDescent="0.25">
      <c r="A1520" s="71"/>
      <c r="B1520" s="12"/>
      <c r="F1520" s="14"/>
      <c r="H1520" s="14"/>
      <c r="I1520" s="14"/>
      <c r="K1520" s="4"/>
      <c r="L1520" s="15"/>
      <c r="M1520" s="15"/>
      <c r="N1520" s="15"/>
      <c r="O1520" s="15"/>
      <c r="P1520" s="15"/>
      <c r="Q1520" s="15"/>
      <c r="R1520" s="15"/>
      <c r="S1520" s="15"/>
    </row>
    <row r="1521" spans="1:19" s="13" customFormat="1" x14ac:dyDescent="0.25">
      <c r="A1521" s="71"/>
      <c r="B1521" s="12"/>
      <c r="F1521" s="14"/>
      <c r="H1521" s="14"/>
      <c r="I1521" s="14"/>
      <c r="K1521" s="4"/>
      <c r="L1521" s="15"/>
      <c r="M1521" s="15"/>
      <c r="N1521" s="15"/>
      <c r="O1521" s="15"/>
      <c r="P1521" s="15"/>
      <c r="Q1521" s="15"/>
      <c r="R1521" s="15"/>
      <c r="S1521" s="15"/>
    </row>
    <row r="1522" spans="1:19" s="13" customFormat="1" x14ac:dyDescent="0.25">
      <c r="A1522" s="71"/>
      <c r="B1522" s="12"/>
      <c r="F1522" s="14"/>
      <c r="H1522" s="14"/>
      <c r="I1522" s="14"/>
      <c r="K1522" s="4"/>
      <c r="L1522" s="15"/>
      <c r="M1522" s="15"/>
      <c r="N1522" s="15"/>
      <c r="O1522" s="15"/>
      <c r="P1522" s="15"/>
      <c r="Q1522" s="15"/>
      <c r="R1522" s="15"/>
      <c r="S1522" s="15"/>
    </row>
    <row r="1523" spans="1:19" s="13" customFormat="1" x14ac:dyDescent="0.25">
      <c r="A1523" s="71"/>
      <c r="B1523" s="12"/>
      <c r="E1523" s="14"/>
      <c r="F1523" s="14"/>
      <c r="H1523" s="14"/>
      <c r="I1523" s="14"/>
      <c r="J1523" s="14"/>
      <c r="K1523" s="4"/>
      <c r="L1523" s="15"/>
      <c r="M1523" s="15"/>
      <c r="N1523" s="15"/>
      <c r="O1523" s="15"/>
      <c r="P1523" s="15"/>
      <c r="Q1523" s="15"/>
      <c r="R1523" s="15"/>
      <c r="S1523" s="15"/>
    </row>
    <row r="1524" spans="1:19" s="13" customFormat="1" x14ac:dyDescent="0.25">
      <c r="A1524" s="71"/>
      <c r="B1524" s="12"/>
      <c r="D1524" s="14"/>
      <c r="E1524" s="14"/>
      <c r="F1524" s="14"/>
      <c r="H1524" s="14"/>
      <c r="I1524" s="14"/>
      <c r="J1524" s="14"/>
      <c r="K1524" s="4"/>
      <c r="L1524" s="15"/>
      <c r="M1524" s="15"/>
      <c r="N1524" s="15"/>
      <c r="O1524" s="15"/>
      <c r="P1524" s="15"/>
      <c r="Q1524" s="15"/>
      <c r="R1524" s="15"/>
      <c r="S1524" s="15"/>
    </row>
    <row r="1525" spans="1:19" s="13" customFormat="1" x14ac:dyDescent="0.25">
      <c r="A1525" s="71"/>
      <c r="B1525" s="12"/>
      <c r="D1525" s="14"/>
      <c r="E1525" s="14"/>
      <c r="F1525" s="14"/>
      <c r="H1525" s="14"/>
      <c r="I1525" s="14"/>
      <c r="J1525" s="14"/>
      <c r="K1525" s="4"/>
      <c r="L1525" s="15"/>
      <c r="M1525" s="15"/>
      <c r="N1525" s="15"/>
      <c r="O1525" s="15"/>
      <c r="P1525" s="15"/>
      <c r="Q1525" s="15"/>
      <c r="R1525" s="15"/>
      <c r="S1525" s="15"/>
    </row>
    <row r="1526" spans="1:19" s="13" customFormat="1" x14ac:dyDescent="0.25">
      <c r="A1526" s="71"/>
      <c r="B1526" s="12"/>
      <c r="D1526" s="14"/>
      <c r="E1526" s="14"/>
      <c r="F1526" s="14"/>
      <c r="H1526" s="14"/>
      <c r="I1526" s="14"/>
      <c r="J1526" s="14"/>
      <c r="K1526" s="4"/>
      <c r="L1526" s="15"/>
      <c r="M1526" s="15"/>
      <c r="N1526" s="15"/>
      <c r="O1526" s="15"/>
      <c r="P1526" s="15"/>
      <c r="Q1526" s="15"/>
      <c r="R1526" s="15"/>
      <c r="S1526" s="15"/>
    </row>
    <row r="1527" spans="1:19" s="13" customFormat="1" x14ac:dyDescent="0.25">
      <c r="A1527" s="71"/>
      <c r="B1527" s="12"/>
      <c r="D1527" s="14"/>
      <c r="E1527" s="14"/>
      <c r="F1527" s="14"/>
      <c r="H1527" s="14"/>
      <c r="I1527" s="14"/>
      <c r="J1527" s="14"/>
      <c r="K1527" s="4"/>
      <c r="L1527" s="15"/>
      <c r="M1527" s="15"/>
      <c r="N1527" s="15"/>
      <c r="O1527" s="15"/>
      <c r="P1527" s="15"/>
      <c r="Q1527" s="15"/>
      <c r="R1527" s="15"/>
      <c r="S1527" s="15"/>
    </row>
    <row r="1528" spans="1:19" s="13" customFormat="1" x14ac:dyDescent="0.25">
      <c r="A1528" s="71"/>
      <c r="B1528" s="12"/>
      <c r="D1528" s="14"/>
      <c r="E1528" s="14"/>
      <c r="F1528" s="14"/>
      <c r="H1528" s="14"/>
      <c r="I1528" s="14"/>
      <c r="J1528" s="14"/>
      <c r="K1528" s="4"/>
      <c r="L1528" s="15"/>
      <c r="M1528" s="15"/>
      <c r="N1528" s="15"/>
      <c r="O1528" s="15"/>
      <c r="P1528" s="15"/>
      <c r="Q1528" s="15"/>
      <c r="R1528" s="15"/>
      <c r="S1528" s="15"/>
    </row>
    <row r="1529" spans="1:19" s="13" customFormat="1" x14ac:dyDescent="0.25">
      <c r="A1529" s="71"/>
      <c r="B1529" s="12"/>
      <c r="D1529" s="14"/>
      <c r="E1529" s="14"/>
      <c r="F1529" s="14"/>
      <c r="H1529" s="14"/>
      <c r="I1529" s="14"/>
      <c r="J1529" s="14"/>
      <c r="K1529" s="4"/>
      <c r="L1529" s="15"/>
      <c r="M1529" s="15"/>
      <c r="N1529" s="15"/>
      <c r="O1529" s="15"/>
      <c r="P1529" s="15"/>
      <c r="Q1529" s="15"/>
      <c r="R1529" s="15"/>
      <c r="S1529" s="15"/>
    </row>
    <row r="1530" spans="1:19" s="13" customFormat="1" x14ac:dyDescent="0.25">
      <c r="A1530" s="71"/>
      <c r="B1530" s="12"/>
      <c r="D1530" s="14"/>
      <c r="E1530" s="14"/>
      <c r="F1530" s="14"/>
      <c r="H1530" s="14"/>
      <c r="I1530" s="14"/>
      <c r="J1530" s="14"/>
      <c r="K1530" s="4"/>
      <c r="L1530" s="15"/>
      <c r="M1530" s="15"/>
      <c r="N1530" s="15"/>
      <c r="O1530" s="15"/>
      <c r="P1530" s="15"/>
      <c r="Q1530" s="15"/>
      <c r="R1530" s="15"/>
      <c r="S1530" s="15"/>
    </row>
    <row r="1531" spans="1:19" s="13" customFormat="1" x14ac:dyDescent="0.25">
      <c r="A1531" s="71"/>
      <c r="B1531" s="12"/>
      <c r="D1531" s="14"/>
      <c r="F1531" s="14"/>
      <c r="H1531" s="14"/>
      <c r="I1531" s="14"/>
      <c r="K1531" s="4"/>
      <c r="L1531" s="15"/>
      <c r="M1531" s="15"/>
      <c r="N1531" s="15"/>
      <c r="O1531" s="15"/>
      <c r="P1531" s="15"/>
      <c r="Q1531" s="15"/>
      <c r="R1531" s="15"/>
      <c r="S1531" s="15"/>
    </row>
    <row r="1532" spans="1:19" s="13" customFormat="1" x14ac:dyDescent="0.25">
      <c r="A1532" s="71"/>
      <c r="B1532" s="12"/>
      <c r="E1532" s="14"/>
      <c r="F1532" s="14"/>
      <c r="H1532" s="14"/>
      <c r="I1532" s="14"/>
      <c r="J1532" s="14"/>
      <c r="K1532" s="4"/>
      <c r="L1532" s="15"/>
      <c r="M1532" s="15"/>
      <c r="N1532" s="15"/>
      <c r="O1532" s="15"/>
      <c r="P1532" s="15"/>
      <c r="Q1532" s="15"/>
      <c r="R1532" s="15"/>
      <c r="S1532" s="15"/>
    </row>
    <row r="1533" spans="1:19" s="13" customFormat="1" x14ac:dyDescent="0.25">
      <c r="A1533" s="71"/>
      <c r="B1533" s="12"/>
      <c r="D1533" s="14"/>
      <c r="E1533" s="14"/>
      <c r="F1533" s="14"/>
      <c r="H1533" s="14"/>
      <c r="I1533" s="14"/>
      <c r="J1533" s="14"/>
      <c r="K1533" s="4"/>
      <c r="L1533" s="15"/>
      <c r="M1533" s="15"/>
      <c r="N1533" s="15"/>
      <c r="O1533" s="15"/>
      <c r="P1533" s="15"/>
      <c r="Q1533" s="15"/>
      <c r="R1533" s="15"/>
      <c r="S1533" s="15"/>
    </row>
    <row r="1534" spans="1:19" s="13" customFormat="1" x14ac:dyDescent="0.25">
      <c r="A1534" s="71"/>
      <c r="B1534" s="12"/>
      <c r="D1534" s="14"/>
      <c r="E1534" s="14"/>
      <c r="F1534" s="14"/>
      <c r="H1534" s="14"/>
      <c r="I1534" s="14"/>
      <c r="J1534" s="14"/>
      <c r="K1534" s="4"/>
      <c r="L1534" s="15"/>
      <c r="M1534" s="15"/>
      <c r="N1534" s="15"/>
      <c r="O1534" s="15"/>
      <c r="P1534" s="15"/>
      <c r="Q1534" s="15"/>
      <c r="R1534" s="15"/>
      <c r="S1534" s="15"/>
    </row>
    <row r="1535" spans="1:19" s="13" customFormat="1" x14ac:dyDescent="0.25">
      <c r="A1535" s="71"/>
      <c r="B1535" s="12"/>
      <c r="D1535" s="14"/>
      <c r="F1535" s="14"/>
      <c r="H1535" s="14"/>
      <c r="I1535" s="14"/>
      <c r="K1535" s="4"/>
      <c r="L1535" s="15"/>
      <c r="M1535" s="15"/>
      <c r="N1535" s="15"/>
      <c r="O1535" s="15"/>
      <c r="P1535" s="15"/>
      <c r="Q1535" s="15"/>
      <c r="R1535" s="15"/>
      <c r="S1535" s="15"/>
    </row>
    <row r="1536" spans="1:19" s="13" customFormat="1" x14ac:dyDescent="0.25">
      <c r="A1536" s="71"/>
      <c r="B1536" s="12"/>
      <c r="E1536" s="14"/>
      <c r="F1536" s="14"/>
      <c r="H1536" s="14"/>
      <c r="I1536" s="14"/>
      <c r="J1536" s="14"/>
      <c r="K1536" s="4"/>
      <c r="L1536" s="15"/>
      <c r="M1536" s="15"/>
      <c r="N1536" s="15"/>
      <c r="O1536" s="15"/>
      <c r="P1536" s="15"/>
      <c r="Q1536" s="15"/>
      <c r="R1536" s="15"/>
      <c r="S1536" s="15"/>
    </row>
    <row r="1537" spans="1:19" s="13" customFormat="1" x14ac:dyDescent="0.25">
      <c r="A1537" s="71"/>
      <c r="B1537" s="12"/>
      <c r="D1537" s="14"/>
      <c r="F1537" s="14"/>
      <c r="H1537" s="14"/>
      <c r="I1537" s="14"/>
      <c r="K1537" s="4"/>
      <c r="L1537" s="15"/>
      <c r="M1537" s="15"/>
      <c r="N1537" s="15"/>
      <c r="O1537" s="15"/>
      <c r="P1537" s="15"/>
      <c r="Q1537" s="15"/>
      <c r="R1537" s="15"/>
      <c r="S1537" s="15"/>
    </row>
    <row r="1538" spans="1:19" s="13" customFormat="1" x14ac:dyDescent="0.25">
      <c r="A1538" s="71"/>
      <c r="B1538" s="12"/>
      <c r="E1538" s="14"/>
      <c r="F1538" s="14"/>
      <c r="H1538" s="14"/>
      <c r="I1538" s="14"/>
      <c r="J1538" s="14"/>
      <c r="K1538" s="4"/>
      <c r="L1538" s="15"/>
      <c r="M1538" s="15"/>
      <c r="N1538" s="15"/>
      <c r="O1538" s="15"/>
      <c r="P1538" s="15"/>
      <c r="Q1538" s="15"/>
      <c r="R1538" s="15"/>
      <c r="S1538" s="15"/>
    </row>
    <row r="1539" spans="1:19" s="13" customFormat="1" x14ac:dyDescent="0.25">
      <c r="A1539" s="71"/>
      <c r="B1539" s="12"/>
      <c r="D1539" s="14"/>
      <c r="F1539" s="14"/>
      <c r="H1539" s="14"/>
      <c r="I1539" s="14"/>
      <c r="K1539" s="4"/>
      <c r="L1539" s="15"/>
      <c r="M1539" s="15"/>
      <c r="N1539" s="15"/>
      <c r="O1539" s="15"/>
      <c r="P1539" s="15"/>
      <c r="Q1539" s="15"/>
      <c r="R1539" s="15"/>
      <c r="S1539" s="15"/>
    </row>
    <row r="1540" spans="1:19" s="13" customFormat="1" x14ac:dyDescent="0.25">
      <c r="A1540" s="71"/>
      <c r="B1540" s="12"/>
      <c r="F1540" s="14"/>
      <c r="H1540" s="14"/>
      <c r="I1540" s="14"/>
      <c r="K1540" s="4"/>
      <c r="L1540" s="15"/>
      <c r="M1540" s="15"/>
      <c r="N1540" s="15"/>
      <c r="O1540" s="15"/>
      <c r="P1540" s="15"/>
      <c r="Q1540" s="15"/>
      <c r="R1540" s="15"/>
      <c r="S1540" s="15"/>
    </row>
    <row r="1541" spans="1:19" s="13" customFormat="1" x14ac:dyDescent="0.25">
      <c r="A1541" s="71"/>
      <c r="B1541" s="12"/>
      <c r="E1541" s="14"/>
      <c r="F1541" s="14"/>
      <c r="H1541" s="14"/>
      <c r="I1541" s="14"/>
      <c r="J1541" s="14"/>
      <c r="K1541" s="4"/>
      <c r="L1541" s="15"/>
      <c r="M1541" s="15"/>
      <c r="N1541" s="15"/>
      <c r="O1541" s="15"/>
      <c r="P1541" s="15"/>
      <c r="Q1541" s="15"/>
      <c r="R1541" s="15"/>
      <c r="S1541" s="15"/>
    </row>
    <row r="1542" spans="1:19" s="13" customFormat="1" x14ac:dyDescent="0.25">
      <c r="A1542" s="71"/>
      <c r="B1542" s="12"/>
      <c r="D1542" s="14"/>
      <c r="E1542" s="14"/>
      <c r="F1542" s="14"/>
      <c r="H1542" s="14"/>
      <c r="I1542" s="14"/>
      <c r="J1542" s="14"/>
      <c r="K1542" s="4"/>
      <c r="L1542" s="15"/>
      <c r="M1542" s="15"/>
      <c r="N1542" s="15"/>
      <c r="O1542" s="15"/>
      <c r="P1542" s="15"/>
      <c r="Q1542" s="15"/>
      <c r="R1542" s="15"/>
      <c r="S1542" s="15"/>
    </row>
    <row r="1543" spans="1:19" s="13" customFormat="1" x14ac:dyDescent="0.25">
      <c r="A1543" s="71"/>
      <c r="B1543" s="12"/>
      <c r="D1543" s="14"/>
      <c r="F1543" s="14"/>
      <c r="H1543" s="14"/>
      <c r="I1543" s="14"/>
      <c r="K1543" s="4"/>
      <c r="L1543" s="15"/>
      <c r="M1543" s="15"/>
      <c r="N1543" s="15"/>
      <c r="O1543" s="15"/>
      <c r="P1543" s="15"/>
      <c r="Q1543" s="15"/>
      <c r="R1543" s="15"/>
      <c r="S1543" s="15"/>
    </row>
    <row r="1544" spans="1:19" s="13" customFormat="1" x14ac:dyDescent="0.25">
      <c r="A1544" s="71"/>
      <c r="B1544" s="12"/>
      <c r="E1544" s="14"/>
      <c r="F1544" s="14"/>
      <c r="H1544" s="14"/>
      <c r="I1544" s="14"/>
      <c r="J1544" s="14"/>
      <c r="K1544" s="4"/>
      <c r="L1544" s="15"/>
      <c r="M1544" s="15"/>
      <c r="N1544" s="15"/>
      <c r="O1544" s="15"/>
      <c r="P1544" s="15"/>
      <c r="Q1544" s="15"/>
      <c r="R1544" s="15"/>
      <c r="S1544" s="15"/>
    </row>
    <row r="1545" spans="1:19" s="13" customFormat="1" x14ac:dyDescent="0.25">
      <c r="A1545" s="71"/>
      <c r="B1545" s="12"/>
      <c r="D1545" s="14"/>
      <c r="E1545" s="14"/>
      <c r="F1545" s="14"/>
      <c r="H1545" s="14"/>
      <c r="I1545" s="14"/>
      <c r="J1545" s="14"/>
      <c r="K1545" s="4"/>
      <c r="L1545" s="15"/>
      <c r="M1545" s="15"/>
      <c r="N1545" s="15"/>
      <c r="O1545" s="15"/>
      <c r="P1545" s="15"/>
      <c r="Q1545" s="15"/>
      <c r="R1545" s="15"/>
      <c r="S1545" s="15"/>
    </row>
    <row r="1546" spans="1:19" s="13" customFormat="1" x14ac:dyDescent="0.25">
      <c r="A1546" s="71"/>
      <c r="B1546" s="12"/>
      <c r="D1546" s="14"/>
      <c r="F1546" s="14"/>
      <c r="H1546" s="14"/>
      <c r="I1546" s="14"/>
      <c r="K1546" s="4"/>
      <c r="L1546" s="15"/>
      <c r="M1546" s="15"/>
      <c r="N1546" s="15"/>
      <c r="O1546" s="15"/>
      <c r="P1546" s="15"/>
      <c r="Q1546" s="15"/>
      <c r="R1546" s="15"/>
      <c r="S1546" s="15"/>
    </row>
    <row r="1547" spans="1:19" s="13" customFormat="1" x14ac:dyDescent="0.25">
      <c r="A1547" s="71"/>
      <c r="B1547" s="12"/>
      <c r="F1547" s="14"/>
      <c r="H1547" s="14"/>
      <c r="I1547" s="14"/>
      <c r="K1547" s="4"/>
      <c r="L1547" s="15"/>
      <c r="M1547" s="15"/>
      <c r="N1547" s="15"/>
      <c r="O1547" s="15"/>
      <c r="P1547" s="15"/>
      <c r="Q1547" s="15"/>
      <c r="R1547" s="15"/>
      <c r="S1547" s="15"/>
    </row>
    <row r="1548" spans="1:19" s="13" customFormat="1" x14ac:dyDescent="0.25">
      <c r="A1548" s="71"/>
      <c r="B1548" s="12"/>
      <c r="F1548" s="14"/>
      <c r="H1548" s="14"/>
      <c r="I1548" s="14"/>
      <c r="K1548" s="4"/>
      <c r="L1548" s="15"/>
      <c r="M1548" s="15"/>
      <c r="N1548" s="15"/>
      <c r="O1548" s="15"/>
      <c r="P1548" s="15"/>
      <c r="Q1548" s="15"/>
      <c r="R1548" s="15"/>
      <c r="S1548" s="15"/>
    </row>
    <row r="1549" spans="1:19" s="13" customFormat="1" x14ac:dyDescent="0.25">
      <c r="A1549" s="71"/>
      <c r="B1549" s="12"/>
      <c r="E1549" s="14"/>
      <c r="F1549" s="14"/>
      <c r="H1549" s="14"/>
      <c r="I1549" s="14"/>
      <c r="J1549" s="14"/>
      <c r="K1549" s="4"/>
      <c r="L1549" s="15"/>
      <c r="M1549" s="15"/>
      <c r="N1549" s="15"/>
      <c r="O1549" s="15"/>
      <c r="P1549" s="15"/>
      <c r="Q1549" s="15"/>
      <c r="R1549" s="15"/>
      <c r="S1549" s="15"/>
    </row>
    <row r="1550" spans="1:19" s="13" customFormat="1" x14ac:dyDescent="0.25">
      <c r="A1550" s="71"/>
      <c r="B1550" s="12"/>
      <c r="D1550" s="14"/>
      <c r="E1550" s="14"/>
      <c r="F1550" s="14"/>
      <c r="H1550" s="14"/>
      <c r="I1550" s="14"/>
      <c r="J1550" s="14"/>
      <c r="K1550" s="4"/>
      <c r="L1550" s="15"/>
      <c r="M1550" s="15"/>
      <c r="N1550" s="15"/>
      <c r="O1550" s="15"/>
      <c r="P1550" s="15"/>
      <c r="Q1550" s="15"/>
      <c r="R1550" s="15"/>
      <c r="S1550" s="15"/>
    </row>
    <row r="1551" spans="1:19" s="13" customFormat="1" x14ac:dyDescent="0.25">
      <c r="A1551" s="71"/>
      <c r="B1551" s="12"/>
      <c r="D1551" s="14"/>
      <c r="F1551" s="14"/>
      <c r="H1551" s="14"/>
      <c r="I1551" s="14"/>
      <c r="K1551" s="4"/>
      <c r="L1551" s="15"/>
      <c r="M1551" s="15"/>
      <c r="N1551" s="15"/>
      <c r="O1551" s="15"/>
      <c r="P1551" s="15"/>
      <c r="Q1551" s="15"/>
      <c r="R1551" s="15"/>
      <c r="S1551" s="15"/>
    </row>
    <row r="1552" spans="1:19" s="13" customFormat="1" x14ac:dyDescent="0.25">
      <c r="A1552" s="71"/>
      <c r="B1552" s="12"/>
      <c r="E1552" s="14"/>
      <c r="F1552" s="14"/>
      <c r="H1552" s="14"/>
      <c r="I1552" s="14"/>
      <c r="J1552" s="14"/>
      <c r="K1552" s="4"/>
      <c r="L1552" s="15"/>
      <c r="M1552" s="15"/>
      <c r="N1552" s="15"/>
      <c r="O1552" s="15"/>
      <c r="P1552" s="15"/>
      <c r="Q1552" s="15"/>
      <c r="R1552" s="15"/>
      <c r="S1552" s="15"/>
    </row>
    <row r="1553" spans="1:19" s="13" customFormat="1" x14ac:dyDescent="0.25">
      <c r="A1553" s="71"/>
      <c r="B1553" s="12"/>
      <c r="D1553" s="14"/>
      <c r="E1553" s="14"/>
      <c r="F1553" s="14"/>
      <c r="H1553" s="14"/>
      <c r="I1553" s="14"/>
      <c r="J1553" s="14"/>
      <c r="K1553" s="4"/>
      <c r="L1553" s="15"/>
      <c r="M1553" s="15"/>
      <c r="N1553" s="15"/>
      <c r="O1553" s="15"/>
      <c r="P1553" s="15"/>
      <c r="Q1553" s="15"/>
      <c r="R1553" s="15"/>
      <c r="S1553" s="15"/>
    </row>
    <row r="1554" spans="1:19" s="13" customFormat="1" x14ac:dyDescent="0.25">
      <c r="A1554" s="71"/>
      <c r="B1554" s="12"/>
      <c r="D1554" s="14"/>
      <c r="E1554" s="14"/>
      <c r="F1554" s="14"/>
      <c r="H1554" s="14"/>
      <c r="I1554" s="14"/>
      <c r="J1554" s="14"/>
      <c r="K1554" s="4"/>
      <c r="L1554" s="15"/>
      <c r="M1554" s="15"/>
      <c r="N1554" s="15"/>
      <c r="O1554" s="15"/>
      <c r="P1554" s="15"/>
      <c r="Q1554" s="15"/>
      <c r="R1554" s="15"/>
      <c r="S1554" s="15"/>
    </row>
    <row r="1555" spans="1:19" s="13" customFormat="1" x14ac:dyDescent="0.25">
      <c r="A1555" s="71"/>
      <c r="B1555" s="12"/>
      <c r="D1555" s="14"/>
      <c r="E1555" s="14"/>
      <c r="F1555" s="14"/>
      <c r="H1555" s="14"/>
      <c r="I1555" s="14"/>
      <c r="J1555" s="14"/>
      <c r="K1555" s="4"/>
      <c r="L1555" s="15"/>
      <c r="M1555" s="15"/>
      <c r="N1555" s="15"/>
      <c r="O1555" s="15"/>
      <c r="P1555" s="15"/>
      <c r="Q1555" s="15"/>
      <c r="R1555" s="15"/>
      <c r="S1555" s="15"/>
    </row>
    <row r="1556" spans="1:19" s="13" customFormat="1" x14ac:dyDescent="0.25">
      <c r="A1556" s="71"/>
      <c r="B1556" s="12"/>
      <c r="D1556" s="14"/>
      <c r="F1556" s="14"/>
      <c r="H1556" s="14"/>
      <c r="I1556" s="14"/>
      <c r="K1556" s="4"/>
      <c r="L1556" s="15"/>
      <c r="M1556" s="15"/>
      <c r="N1556" s="15"/>
      <c r="O1556" s="15"/>
      <c r="P1556" s="15"/>
      <c r="Q1556" s="15"/>
      <c r="R1556" s="15"/>
      <c r="S1556" s="15"/>
    </row>
    <row r="1557" spans="1:19" s="13" customFormat="1" x14ac:dyDescent="0.25">
      <c r="A1557" s="71"/>
      <c r="B1557" s="12"/>
      <c r="E1557" s="14"/>
      <c r="F1557" s="14"/>
      <c r="H1557" s="14"/>
      <c r="I1557" s="14"/>
      <c r="J1557" s="14"/>
      <c r="K1557" s="4"/>
      <c r="L1557" s="15"/>
      <c r="M1557" s="15"/>
      <c r="N1557" s="15"/>
      <c r="O1557" s="15"/>
      <c r="P1557" s="15"/>
      <c r="Q1557" s="15"/>
      <c r="R1557" s="15"/>
      <c r="S1557" s="15"/>
    </row>
    <row r="1558" spans="1:19" s="13" customFormat="1" x14ac:dyDescent="0.25">
      <c r="A1558" s="71"/>
      <c r="B1558" s="12"/>
      <c r="D1558" s="14"/>
      <c r="F1558" s="14"/>
      <c r="H1558" s="14"/>
      <c r="I1558" s="14"/>
      <c r="K1558" s="4"/>
      <c r="L1558" s="15"/>
      <c r="M1558" s="15"/>
      <c r="N1558" s="15"/>
      <c r="O1558" s="15"/>
      <c r="P1558" s="15"/>
      <c r="Q1558" s="15"/>
      <c r="R1558" s="15"/>
      <c r="S1558" s="15"/>
    </row>
    <row r="1559" spans="1:19" s="13" customFormat="1" x14ac:dyDescent="0.25">
      <c r="A1559" s="71"/>
      <c r="B1559" s="12"/>
      <c r="E1559" s="14"/>
      <c r="F1559" s="14"/>
      <c r="H1559" s="14"/>
      <c r="I1559" s="14"/>
      <c r="J1559" s="14"/>
      <c r="K1559" s="4"/>
      <c r="L1559" s="15"/>
      <c r="M1559" s="15"/>
      <c r="N1559" s="15"/>
      <c r="O1559" s="15"/>
      <c r="P1559" s="15"/>
      <c r="Q1559" s="15"/>
      <c r="R1559" s="15"/>
      <c r="S1559" s="15"/>
    </row>
    <row r="1560" spans="1:19" s="13" customFormat="1" x14ac:dyDescent="0.25">
      <c r="A1560" s="71"/>
      <c r="B1560" s="12"/>
      <c r="D1560" s="14"/>
      <c r="E1560" s="14"/>
      <c r="F1560" s="14"/>
      <c r="H1560" s="14"/>
      <c r="I1560" s="14"/>
      <c r="J1560" s="14"/>
      <c r="K1560" s="4"/>
      <c r="L1560" s="15"/>
      <c r="M1560" s="15"/>
      <c r="N1560" s="15"/>
      <c r="O1560" s="15"/>
      <c r="P1560" s="15"/>
      <c r="Q1560" s="15"/>
      <c r="R1560" s="15"/>
      <c r="S1560" s="15"/>
    </row>
    <row r="1561" spans="1:19" s="13" customFormat="1" x14ac:dyDescent="0.25">
      <c r="A1561" s="71"/>
      <c r="B1561" s="12"/>
      <c r="D1561" s="14"/>
      <c r="F1561" s="14"/>
      <c r="H1561" s="14"/>
      <c r="I1561" s="14"/>
      <c r="K1561" s="4"/>
      <c r="L1561" s="15"/>
      <c r="M1561" s="15"/>
      <c r="N1561" s="15"/>
      <c r="O1561" s="15"/>
      <c r="P1561" s="15"/>
      <c r="Q1561" s="15"/>
      <c r="R1561" s="15"/>
      <c r="S1561" s="15"/>
    </row>
    <row r="1562" spans="1:19" s="13" customFormat="1" x14ac:dyDescent="0.25">
      <c r="A1562" s="71"/>
      <c r="B1562" s="12"/>
      <c r="E1562" s="14"/>
      <c r="F1562" s="14"/>
      <c r="H1562" s="14"/>
      <c r="I1562" s="14"/>
      <c r="J1562" s="14"/>
      <c r="K1562" s="4"/>
      <c r="L1562" s="15"/>
      <c r="M1562" s="15"/>
      <c r="N1562" s="15"/>
      <c r="O1562" s="15"/>
      <c r="P1562" s="15"/>
      <c r="Q1562" s="15"/>
      <c r="R1562" s="15"/>
      <c r="S1562" s="15"/>
    </row>
    <row r="1563" spans="1:19" s="13" customFormat="1" x14ac:dyDescent="0.25">
      <c r="A1563" s="71"/>
      <c r="B1563" s="12"/>
      <c r="D1563" s="14"/>
      <c r="F1563" s="14"/>
      <c r="H1563" s="14"/>
      <c r="I1563" s="14"/>
      <c r="K1563" s="4"/>
      <c r="L1563" s="15"/>
      <c r="M1563" s="15"/>
      <c r="N1563" s="15"/>
      <c r="O1563" s="15"/>
      <c r="P1563" s="15"/>
      <c r="Q1563" s="15"/>
      <c r="R1563" s="15"/>
      <c r="S1563" s="15"/>
    </row>
    <row r="1564" spans="1:19" s="13" customFormat="1" x14ac:dyDescent="0.25">
      <c r="A1564" s="71"/>
      <c r="B1564" s="12"/>
      <c r="F1564" s="14"/>
      <c r="H1564" s="14"/>
      <c r="I1564" s="14"/>
      <c r="K1564" s="4"/>
      <c r="L1564" s="15"/>
      <c r="M1564" s="15"/>
      <c r="N1564" s="15"/>
      <c r="O1564" s="15"/>
      <c r="P1564" s="15"/>
      <c r="Q1564" s="15"/>
      <c r="R1564" s="15"/>
      <c r="S1564" s="15"/>
    </row>
    <row r="1565" spans="1:19" s="13" customFormat="1" x14ac:dyDescent="0.25">
      <c r="A1565" s="71"/>
      <c r="B1565" s="12"/>
      <c r="E1565" s="14"/>
      <c r="F1565" s="14"/>
      <c r="H1565" s="14"/>
      <c r="I1565" s="14"/>
      <c r="J1565" s="14"/>
      <c r="K1565" s="4"/>
      <c r="L1565" s="15"/>
      <c r="M1565" s="15"/>
      <c r="N1565" s="15"/>
      <c r="O1565" s="15"/>
      <c r="P1565" s="15"/>
      <c r="Q1565" s="15"/>
      <c r="R1565" s="15"/>
      <c r="S1565" s="15"/>
    </row>
    <row r="1566" spans="1:19" s="13" customFormat="1" x14ac:dyDescent="0.25">
      <c r="A1566" s="71"/>
      <c r="B1566" s="12"/>
      <c r="D1566" s="14"/>
      <c r="E1566" s="14"/>
      <c r="F1566" s="14"/>
      <c r="H1566" s="14"/>
      <c r="I1566" s="14"/>
      <c r="J1566" s="14"/>
      <c r="K1566" s="4"/>
      <c r="L1566" s="15"/>
      <c r="M1566" s="15"/>
      <c r="N1566" s="15"/>
      <c r="O1566" s="15"/>
      <c r="P1566" s="15"/>
      <c r="Q1566" s="15"/>
      <c r="R1566" s="15"/>
      <c r="S1566" s="15"/>
    </row>
    <row r="1567" spans="1:19" s="13" customFormat="1" x14ac:dyDescent="0.25">
      <c r="A1567" s="71"/>
      <c r="B1567" s="12"/>
      <c r="D1567" s="14"/>
      <c r="E1567" s="14"/>
      <c r="F1567" s="14"/>
      <c r="H1567" s="14"/>
      <c r="I1567" s="14"/>
      <c r="J1567" s="14"/>
      <c r="K1567" s="4"/>
      <c r="L1567" s="15"/>
      <c r="M1567" s="15"/>
      <c r="N1567" s="15"/>
      <c r="O1567" s="15"/>
      <c r="P1567" s="15"/>
      <c r="Q1567" s="15"/>
      <c r="R1567" s="15"/>
      <c r="S1567" s="15"/>
    </row>
    <row r="1568" spans="1:19" s="13" customFormat="1" x14ac:dyDescent="0.25">
      <c r="A1568" s="71"/>
      <c r="B1568" s="12"/>
      <c r="D1568" s="14"/>
      <c r="E1568" s="14"/>
      <c r="F1568" s="14"/>
      <c r="H1568" s="14"/>
      <c r="I1568" s="14"/>
      <c r="J1568" s="14"/>
      <c r="K1568" s="4"/>
      <c r="L1568" s="15"/>
      <c r="M1568" s="15"/>
      <c r="N1568" s="15"/>
      <c r="O1568" s="15"/>
      <c r="P1568" s="15"/>
      <c r="Q1568" s="15"/>
      <c r="R1568" s="15"/>
      <c r="S1568" s="15"/>
    </row>
    <row r="1569" spans="1:19" s="13" customFormat="1" x14ac:dyDescent="0.25">
      <c r="A1569" s="15"/>
      <c r="B1569" s="12"/>
      <c r="D1569" s="14"/>
      <c r="E1569" s="14"/>
      <c r="F1569" s="14"/>
      <c r="H1569" s="14"/>
      <c r="I1569" s="14"/>
      <c r="J1569" s="14"/>
      <c r="K1569" s="4"/>
      <c r="L1569" s="15"/>
      <c r="M1569" s="15"/>
      <c r="N1569" s="15"/>
      <c r="O1569" s="15"/>
      <c r="P1569" s="15"/>
      <c r="Q1569" s="15"/>
      <c r="R1569" s="15"/>
      <c r="S1569" s="15"/>
    </row>
    <row r="1572" spans="1:19" s="13" customFormat="1" x14ac:dyDescent="0.25">
      <c r="A1572" s="15"/>
      <c r="B1572" s="12"/>
      <c r="D1572" s="14"/>
      <c r="E1572" s="14"/>
      <c r="F1572" s="14"/>
      <c r="H1572" s="14"/>
      <c r="I1572" s="14"/>
      <c r="J1572" s="14"/>
      <c r="K1572" s="4"/>
      <c r="L1572" s="15"/>
      <c r="M1572" s="15"/>
      <c r="N1572" s="15"/>
      <c r="O1572" s="15"/>
      <c r="P1572" s="15"/>
      <c r="Q1572" s="15"/>
      <c r="R1572" s="15"/>
      <c r="S1572" s="15"/>
    </row>
    <row r="1573" spans="1:19" s="13" customFormat="1" x14ac:dyDescent="0.25">
      <c r="A1573" s="15"/>
      <c r="B1573" s="12"/>
      <c r="D1573" s="14"/>
      <c r="E1573" s="14"/>
      <c r="F1573" s="14"/>
      <c r="H1573" s="14"/>
      <c r="I1573" s="14"/>
      <c r="J1573" s="14"/>
      <c r="K1573" s="4"/>
      <c r="L1573" s="15"/>
      <c r="M1573" s="15"/>
      <c r="N1573" s="15"/>
      <c r="O1573" s="15"/>
      <c r="P1573" s="15"/>
      <c r="Q1573" s="15"/>
      <c r="R1573" s="15"/>
      <c r="S1573" s="15"/>
    </row>
    <row r="1574" spans="1:19" s="13" customFormat="1" x14ac:dyDescent="0.25">
      <c r="A1574" s="15"/>
      <c r="B1574" s="12"/>
      <c r="D1574" s="14"/>
      <c r="E1574" s="14"/>
      <c r="F1574" s="14"/>
      <c r="H1574" s="14"/>
      <c r="I1574" s="14"/>
      <c r="J1574" s="14"/>
      <c r="K1574" s="4"/>
      <c r="L1574" s="15"/>
      <c r="M1574" s="15"/>
      <c r="N1574" s="15"/>
      <c r="O1574" s="15"/>
      <c r="P1574" s="15"/>
      <c r="Q1574" s="15"/>
      <c r="R1574" s="15"/>
      <c r="S1574" s="15"/>
    </row>
    <row r="1576" spans="1:19" s="13" customFormat="1" x14ac:dyDescent="0.25">
      <c r="A1576" s="15"/>
      <c r="B1576" s="12"/>
      <c r="D1576" s="14"/>
      <c r="F1576" s="14"/>
      <c r="H1576" s="14"/>
      <c r="I1576" s="14"/>
      <c r="K1576" s="4"/>
      <c r="L1576" s="15"/>
      <c r="M1576" s="15"/>
      <c r="N1576" s="15"/>
      <c r="O1576" s="15"/>
      <c r="P1576" s="15"/>
      <c r="Q1576" s="15"/>
      <c r="R1576" s="15"/>
      <c r="S1576" s="15"/>
    </row>
    <row r="1577" spans="1:19" s="13" customFormat="1" x14ac:dyDescent="0.25">
      <c r="A1577" s="15"/>
      <c r="B1577" s="12"/>
      <c r="E1577" s="14"/>
      <c r="F1577" s="14"/>
      <c r="H1577" s="14"/>
      <c r="I1577" s="14"/>
      <c r="J1577" s="14"/>
      <c r="K1577" s="4"/>
      <c r="L1577" s="15"/>
      <c r="M1577" s="15"/>
      <c r="N1577" s="15"/>
      <c r="O1577" s="15"/>
      <c r="P1577" s="15"/>
      <c r="Q1577" s="15"/>
      <c r="R1577" s="15"/>
      <c r="S1577" s="15"/>
    </row>
    <row r="1578" spans="1:19" s="13" customFormat="1" x14ac:dyDescent="0.25">
      <c r="A1578" s="15"/>
      <c r="B1578" s="12"/>
      <c r="D1578" s="14"/>
      <c r="F1578" s="14"/>
      <c r="H1578" s="14"/>
      <c r="I1578" s="14"/>
      <c r="K1578" s="4"/>
      <c r="L1578" s="15"/>
      <c r="M1578" s="15"/>
      <c r="N1578" s="15"/>
      <c r="O1578" s="15"/>
      <c r="P1578" s="15"/>
      <c r="Q1578" s="15"/>
      <c r="R1578" s="15"/>
      <c r="S1578" s="15"/>
    </row>
    <row r="1579" spans="1:19" s="13" customFormat="1" x14ac:dyDescent="0.25">
      <c r="A1579" s="15"/>
      <c r="B1579" s="12"/>
      <c r="E1579" s="14"/>
      <c r="F1579" s="14"/>
      <c r="H1579" s="14"/>
      <c r="I1579" s="14"/>
      <c r="J1579" s="14"/>
      <c r="K1579" s="4"/>
      <c r="L1579" s="15"/>
      <c r="M1579" s="15"/>
      <c r="N1579" s="15"/>
      <c r="O1579" s="15"/>
      <c r="P1579" s="15"/>
      <c r="Q1579" s="15"/>
      <c r="R1579" s="15"/>
      <c r="S1579" s="15"/>
    </row>
    <row r="1580" spans="1:19" s="13" customFormat="1" x14ac:dyDescent="0.25">
      <c r="A1580" s="15"/>
      <c r="B1580" s="12"/>
      <c r="D1580" s="14"/>
      <c r="F1580" s="14"/>
      <c r="H1580" s="14"/>
      <c r="I1580" s="14"/>
      <c r="K1580" s="4"/>
      <c r="L1580" s="15"/>
      <c r="M1580" s="15"/>
      <c r="N1580" s="15"/>
      <c r="O1580" s="15"/>
      <c r="P1580" s="15"/>
      <c r="Q1580" s="15"/>
      <c r="R1580" s="15"/>
      <c r="S1580" s="15"/>
    </row>
    <row r="1581" spans="1:19" s="13" customFormat="1" x14ac:dyDescent="0.25">
      <c r="A1581" s="15"/>
      <c r="B1581" s="12"/>
      <c r="E1581" s="14"/>
      <c r="F1581" s="14"/>
      <c r="H1581" s="14"/>
      <c r="I1581" s="14"/>
      <c r="J1581" s="14"/>
      <c r="K1581" s="4"/>
      <c r="L1581" s="15"/>
      <c r="M1581" s="15"/>
      <c r="N1581" s="15"/>
      <c r="O1581" s="15"/>
      <c r="P1581" s="15"/>
      <c r="Q1581" s="15"/>
      <c r="R1581" s="15"/>
      <c r="S1581" s="15"/>
    </row>
    <row r="1582" spans="1:19" s="13" customFormat="1" x14ac:dyDescent="0.25">
      <c r="A1582" s="15"/>
      <c r="B1582" s="12"/>
      <c r="D1582" s="14"/>
      <c r="F1582" s="14"/>
      <c r="H1582" s="14"/>
      <c r="I1582" s="14"/>
      <c r="K1582" s="4"/>
      <c r="L1582" s="15"/>
      <c r="M1582" s="15"/>
      <c r="N1582" s="15"/>
      <c r="O1582" s="15"/>
      <c r="P1582" s="15"/>
      <c r="Q1582" s="15"/>
      <c r="R1582" s="15"/>
      <c r="S1582" s="15"/>
    </row>
    <row r="1583" spans="1:19" s="13" customFormat="1" x14ac:dyDescent="0.25">
      <c r="A1583" s="15"/>
      <c r="B1583" s="12"/>
      <c r="F1583" s="14"/>
      <c r="H1583" s="14"/>
      <c r="I1583" s="14"/>
      <c r="K1583" s="4"/>
      <c r="L1583" s="15"/>
      <c r="M1583" s="15"/>
      <c r="N1583" s="15"/>
      <c r="O1583" s="15"/>
      <c r="P1583" s="15"/>
      <c r="Q1583" s="15"/>
      <c r="R1583" s="15"/>
      <c r="S1583" s="15"/>
    </row>
    <row r="1584" spans="1:19" s="13" customFormat="1" x14ac:dyDescent="0.25">
      <c r="A1584" s="15"/>
      <c r="B1584" s="12"/>
      <c r="E1584" s="14"/>
      <c r="F1584" s="14"/>
      <c r="H1584" s="14"/>
      <c r="I1584" s="14"/>
      <c r="J1584" s="14"/>
      <c r="K1584" s="4"/>
      <c r="L1584" s="15"/>
      <c r="M1584" s="15"/>
      <c r="N1584" s="15"/>
      <c r="O1584" s="15"/>
      <c r="P1584" s="15"/>
      <c r="Q1584" s="15"/>
      <c r="R1584" s="15"/>
      <c r="S1584" s="15"/>
    </row>
    <row r="1585" spans="1:19" s="13" customFormat="1" x14ac:dyDescent="0.25">
      <c r="A1585" s="15"/>
      <c r="B1585" s="12"/>
      <c r="D1585" s="14"/>
      <c r="F1585" s="14"/>
      <c r="H1585" s="14"/>
      <c r="I1585" s="14"/>
      <c r="K1585" s="4"/>
      <c r="L1585" s="15"/>
      <c r="M1585" s="15"/>
      <c r="N1585" s="15"/>
      <c r="O1585" s="15"/>
      <c r="P1585" s="15"/>
      <c r="Q1585" s="15"/>
      <c r="R1585" s="15"/>
      <c r="S1585" s="15"/>
    </row>
    <row r="1586" spans="1:19" s="13" customFormat="1" x14ac:dyDescent="0.25">
      <c r="A1586" s="15"/>
      <c r="B1586" s="12"/>
      <c r="F1586" s="14"/>
      <c r="H1586" s="14"/>
      <c r="I1586" s="14"/>
      <c r="K1586" s="4"/>
      <c r="L1586" s="15"/>
      <c r="M1586" s="15"/>
      <c r="N1586" s="15"/>
      <c r="O1586" s="15"/>
      <c r="P1586" s="15"/>
      <c r="Q1586" s="15"/>
      <c r="R1586" s="15"/>
      <c r="S1586" s="15"/>
    </row>
    <row r="1587" spans="1:19" s="13" customFormat="1" x14ac:dyDescent="0.25">
      <c r="A1587" s="15"/>
      <c r="B1587" s="12"/>
      <c r="E1587" s="14"/>
      <c r="F1587" s="14"/>
      <c r="H1587" s="14"/>
      <c r="I1587" s="14"/>
      <c r="J1587" s="14"/>
      <c r="K1587" s="4"/>
      <c r="L1587" s="15"/>
      <c r="M1587" s="15"/>
      <c r="N1587" s="15"/>
      <c r="O1587" s="15"/>
      <c r="P1587" s="15"/>
      <c r="Q1587" s="15"/>
      <c r="R1587" s="15"/>
      <c r="S1587" s="15"/>
    </row>
    <row r="1589" spans="1:19" s="13" customFormat="1" x14ac:dyDescent="0.25">
      <c r="A1589" s="15"/>
      <c r="B1589" s="12"/>
      <c r="D1589" s="14"/>
      <c r="E1589" s="14"/>
      <c r="F1589" s="14"/>
      <c r="H1589" s="14"/>
      <c r="I1589" s="14"/>
      <c r="J1589" s="14"/>
      <c r="K1589" s="4"/>
      <c r="L1589" s="15"/>
      <c r="M1589" s="15"/>
      <c r="N1589" s="15"/>
      <c r="O1589" s="15"/>
      <c r="P1589" s="15"/>
      <c r="Q1589" s="15"/>
      <c r="R1589" s="15"/>
      <c r="S1589" s="15"/>
    </row>
    <row r="1590" spans="1:19" s="13" customFormat="1" x14ac:dyDescent="0.25">
      <c r="A1590" s="15"/>
      <c r="B1590" s="12"/>
      <c r="D1590" s="14"/>
      <c r="E1590" s="14"/>
      <c r="F1590" s="14"/>
      <c r="H1590" s="14"/>
      <c r="I1590" s="14"/>
      <c r="J1590" s="14"/>
      <c r="K1590" s="4"/>
      <c r="L1590" s="15"/>
      <c r="M1590" s="15"/>
      <c r="N1590" s="15"/>
      <c r="O1590" s="15"/>
      <c r="P1590" s="15"/>
      <c r="Q1590" s="15"/>
      <c r="R1590" s="15"/>
      <c r="S1590" s="15"/>
    </row>
    <row r="1593" spans="1:19" s="13" customFormat="1" x14ac:dyDescent="0.25">
      <c r="A1593" s="15"/>
      <c r="B1593" s="12"/>
      <c r="D1593" s="14"/>
      <c r="F1593" s="14"/>
      <c r="H1593" s="14"/>
      <c r="I1593" s="14"/>
      <c r="K1593" s="4"/>
      <c r="L1593" s="15"/>
      <c r="M1593" s="15"/>
      <c r="N1593" s="15"/>
      <c r="O1593" s="15"/>
      <c r="P1593" s="15"/>
      <c r="Q1593" s="15"/>
      <c r="R1593" s="15"/>
      <c r="S1593" s="15"/>
    </row>
    <row r="1594" spans="1:19" s="13" customFormat="1" x14ac:dyDescent="0.25">
      <c r="A1594" s="15"/>
      <c r="B1594" s="12"/>
      <c r="E1594" s="14"/>
      <c r="F1594" s="14"/>
      <c r="H1594" s="14"/>
      <c r="I1594" s="14"/>
      <c r="J1594" s="14"/>
      <c r="K1594" s="4"/>
      <c r="L1594" s="15"/>
      <c r="M1594" s="15"/>
      <c r="N1594" s="15"/>
      <c r="O1594" s="15"/>
      <c r="P1594" s="15"/>
      <c r="Q1594" s="15"/>
      <c r="R1594" s="15"/>
      <c r="S1594" s="15"/>
    </row>
    <row r="1602" spans="1:19" s="13" customFormat="1" x14ac:dyDescent="0.25">
      <c r="A1602" s="15"/>
      <c r="B1602" s="12"/>
      <c r="D1602" s="14"/>
      <c r="F1602" s="14"/>
      <c r="H1602" s="14"/>
      <c r="I1602" s="14"/>
      <c r="K1602" s="4"/>
      <c r="L1602" s="15"/>
      <c r="M1602" s="15"/>
      <c r="N1602" s="15"/>
      <c r="O1602" s="15"/>
      <c r="P1602" s="15"/>
      <c r="Q1602" s="15"/>
      <c r="R1602" s="15"/>
      <c r="S1602" s="15"/>
    </row>
    <row r="1603" spans="1:19" s="13" customFormat="1" x14ac:dyDescent="0.25">
      <c r="A1603" s="15"/>
      <c r="B1603" s="12"/>
      <c r="F1603" s="14"/>
      <c r="H1603" s="14"/>
      <c r="I1603" s="14"/>
      <c r="K1603" s="4"/>
      <c r="L1603" s="15"/>
      <c r="M1603" s="15"/>
      <c r="N1603" s="15"/>
      <c r="O1603" s="15"/>
      <c r="P1603" s="15"/>
      <c r="Q1603" s="15"/>
      <c r="R1603" s="15"/>
      <c r="S1603" s="15"/>
    </row>
    <row r="1604" spans="1:19" s="13" customFormat="1" x14ac:dyDescent="0.25">
      <c r="A1604" s="15"/>
      <c r="B1604" s="12"/>
      <c r="F1604" s="14"/>
      <c r="H1604" s="14"/>
      <c r="I1604" s="14"/>
      <c r="K1604" s="4"/>
      <c r="L1604" s="15"/>
      <c r="M1604" s="15"/>
      <c r="N1604" s="15"/>
      <c r="O1604" s="15"/>
      <c r="P1604" s="15"/>
      <c r="Q1604" s="15"/>
      <c r="R1604" s="15"/>
      <c r="S1604" s="15"/>
    </row>
    <row r="1605" spans="1:19" s="13" customFormat="1" x14ac:dyDescent="0.25">
      <c r="A1605" s="15"/>
      <c r="B1605" s="12"/>
      <c r="F1605" s="14"/>
      <c r="H1605" s="14"/>
      <c r="I1605" s="14"/>
      <c r="K1605" s="4"/>
      <c r="L1605" s="15"/>
      <c r="M1605" s="15"/>
      <c r="N1605" s="15"/>
      <c r="O1605" s="15"/>
      <c r="P1605" s="15"/>
      <c r="Q1605" s="15"/>
      <c r="R1605" s="15"/>
      <c r="S1605" s="15"/>
    </row>
    <row r="1606" spans="1:19" s="13" customFormat="1" x14ac:dyDescent="0.25">
      <c r="A1606" s="15"/>
      <c r="B1606" s="12"/>
      <c r="E1606" s="14"/>
      <c r="F1606" s="14"/>
      <c r="H1606" s="14"/>
      <c r="I1606" s="14"/>
      <c r="J1606" s="14"/>
      <c r="K1606" s="4"/>
      <c r="L1606" s="15"/>
      <c r="M1606" s="15"/>
      <c r="N1606" s="15"/>
      <c r="O1606" s="15"/>
      <c r="P1606" s="15"/>
      <c r="Q1606" s="15"/>
      <c r="R1606" s="15"/>
      <c r="S1606" s="15"/>
    </row>
    <row r="1608" spans="1:19" s="13" customFormat="1" x14ac:dyDescent="0.25">
      <c r="A1608" s="15"/>
      <c r="B1608" s="12"/>
      <c r="D1608" s="14"/>
      <c r="E1608" s="14"/>
      <c r="F1608" s="14"/>
      <c r="H1608" s="14"/>
      <c r="I1608" s="14"/>
      <c r="J1608" s="14"/>
      <c r="K1608" s="4"/>
      <c r="L1608" s="15"/>
      <c r="M1608" s="15"/>
      <c r="N1608" s="15"/>
      <c r="O1608" s="15"/>
      <c r="P1608" s="15"/>
      <c r="Q1608" s="15"/>
      <c r="R1608" s="15"/>
      <c r="S1608" s="15"/>
    </row>
    <row r="1609" spans="1:19" s="13" customFormat="1" x14ac:dyDescent="0.25">
      <c r="A1609" s="15"/>
      <c r="B1609" s="12"/>
      <c r="D1609" s="14"/>
      <c r="F1609" s="14"/>
      <c r="H1609" s="14"/>
      <c r="I1609" s="14"/>
      <c r="K1609" s="4"/>
      <c r="L1609" s="15"/>
      <c r="M1609" s="15"/>
      <c r="N1609" s="15"/>
      <c r="O1609" s="15"/>
      <c r="P1609" s="15"/>
      <c r="Q1609" s="15"/>
      <c r="R1609" s="15"/>
      <c r="S1609" s="15"/>
    </row>
    <row r="1610" spans="1:19" s="13" customFormat="1" x14ac:dyDescent="0.25">
      <c r="A1610" s="15"/>
      <c r="B1610" s="12"/>
      <c r="F1610" s="14"/>
      <c r="H1610" s="14"/>
      <c r="I1610" s="14"/>
      <c r="K1610" s="4"/>
      <c r="L1610" s="15"/>
      <c r="M1610" s="15"/>
      <c r="N1610" s="15"/>
      <c r="O1610" s="15"/>
      <c r="P1610" s="15"/>
      <c r="Q1610" s="15"/>
      <c r="R1610" s="15"/>
      <c r="S1610" s="15"/>
    </row>
    <row r="1611" spans="1:19" s="13" customFormat="1" x14ac:dyDescent="0.25">
      <c r="A1611" s="15"/>
      <c r="B1611" s="12"/>
      <c r="E1611" s="14"/>
      <c r="F1611" s="14"/>
      <c r="H1611" s="14"/>
      <c r="I1611" s="14"/>
      <c r="J1611" s="14"/>
      <c r="K1611" s="4"/>
      <c r="L1611" s="15"/>
      <c r="M1611" s="15"/>
      <c r="N1611" s="15"/>
      <c r="O1611" s="15"/>
      <c r="P1611" s="15"/>
      <c r="Q1611" s="15"/>
      <c r="R1611" s="15"/>
      <c r="S1611" s="15"/>
    </row>
    <row r="1612" spans="1:19" s="13" customFormat="1" x14ac:dyDescent="0.25">
      <c r="A1612" s="15"/>
      <c r="B1612" s="12"/>
      <c r="D1612" s="14"/>
      <c r="E1612" s="14"/>
      <c r="F1612" s="14"/>
      <c r="H1612" s="14"/>
      <c r="I1612" s="14"/>
      <c r="J1612" s="14"/>
      <c r="K1612" s="4"/>
      <c r="L1612" s="15"/>
      <c r="M1612" s="15"/>
      <c r="N1612" s="15"/>
      <c r="O1612" s="15"/>
      <c r="P1612" s="15"/>
      <c r="Q1612" s="15"/>
      <c r="R1612" s="15"/>
      <c r="S1612" s="15"/>
    </row>
    <row r="1619" spans="1:19" s="13" customFormat="1" x14ac:dyDescent="0.25">
      <c r="A1619" s="15"/>
      <c r="B1619" s="12"/>
      <c r="D1619" s="14"/>
      <c r="E1619" s="14"/>
      <c r="F1619" s="14"/>
      <c r="H1619" s="14"/>
      <c r="I1619" s="14"/>
      <c r="J1619" s="14"/>
      <c r="K1619" s="4"/>
      <c r="L1619" s="15"/>
      <c r="M1619" s="15"/>
      <c r="N1619" s="15"/>
      <c r="O1619" s="15"/>
      <c r="P1619" s="15"/>
      <c r="Q1619" s="15"/>
      <c r="R1619" s="15"/>
      <c r="S1619" s="15"/>
    </row>
    <row r="1620" spans="1:19" s="13" customFormat="1" x14ac:dyDescent="0.25">
      <c r="A1620" s="15"/>
      <c r="B1620" s="12"/>
      <c r="D1620" s="14"/>
      <c r="F1620" s="14"/>
      <c r="H1620" s="14"/>
      <c r="I1620" s="14"/>
      <c r="K1620" s="4"/>
      <c r="L1620" s="15"/>
      <c r="M1620" s="15"/>
      <c r="N1620" s="15"/>
      <c r="O1620" s="15"/>
      <c r="P1620" s="15"/>
      <c r="Q1620" s="15"/>
      <c r="R1620" s="15"/>
      <c r="S1620" s="15"/>
    </row>
    <row r="1621" spans="1:19" s="13" customFormat="1" x14ac:dyDescent="0.25">
      <c r="A1621" s="15"/>
      <c r="B1621" s="12"/>
      <c r="E1621" s="14"/>
      <c r="F1621" s="14"/>
      <c r="H1621" s="14"/>
      <c r="I1621" s="14"/>
      <c r="J1621" s="14"/>
      <c r="K1621" s="4"/>
      <c r="L1621" s="15"/>
      <c r="M1621" s="15"/>
      <c r="N1621" s="15"/>
      <c r="O1621" s="15"/>
      <c r="P1621" s="15"/>
      <c r="Q1621" s="15"/>
      <c r="R1621" s="15"/>
      <c r="S1621" s="15"/>
    </row>
    <row r="1628" spans="1:19" s="13" customFormat="1" x14ac:dyDescent="0.25">
      <c r="A1628" s="15"/>
      <c r="B1628" s="12"/>
      <c r="D1628" s="14"/>
      <c r="E1628" s="14"/>
      <c r="F1628" s="14"/>
      <c r="H1628" s="14"/>
      <c r="I1628" s="14"/>
      <c r="J1628" s="14"/>
      <c r="K1628" s="4"/>
      <c r="L1628" s="15"/>
      <c r="M1628" s="15"/>
      <c r="N1628" s="15"/>
      <c r="O1628" s="15"/>
      <c r="P1628" s="15"/>
      <c r="Q1628" s="15"/>
      <c r="R1628" s="15"/>
      <c r="S1628" s="15"/>
    </row>
    <row r="1629" spans="1:19" s="13" customFormat="1" x14ac:dyDescent="0.25">
      <c r="A1629" s="15"/>
      <c r="B1629" s="12"/>
      <c r="D1629" s="14"/>
      <c r="E1629" s="14"/>
      <c r="F1629" s="14"/>
      <c r="H1629" s="14"/>
      <c r="I1629" s="14"/>
      <c r="J1629" s="14"/>
      <c r="K1629" s="4"/>
      <c r="L1629" s="15"/>
      <c r="M1629" s="15"/>
      <c r="N1629" s="15"/>
      <c r="O1629" s="15"/>
      <c r="P1629" s="15"/>
      <c r="Q1629" s="15"/>
      <c r="R1629" s="15"/>
      <c r="S1629" s="15"/>
    </row>
    <row r="1630" spans="1:19" s="13" customFormat="1" x14ac:dyDescent="0.25">
      <c r="A1630" s="15"/>
      <c r="B1630" s="12"/>
      <c r="D1630" s="14"/>
      <c r="F1630" s="14"/>
      <c r="H1630" s="14"/>
      <c r="I1630" s="14"/>
      <c r="K1630" s="4"/>
      <c r="L1630" s="15"/>
      <c r="M1630" s="15"/>
      <c r="N1630" s="15"/>
      <c r="O1630" s="15"/>
      <c r="P1630" s="15"/>
      <c r="Q1630" s="15"/>
      <c r="R1630" s="15"/>
      <c r="S1630" s="15"/>
    </row>
    <row r="1631" spans="1:19" s="13" customFormat="1" x14ac:dyDescent="0.25">
      <c r="A1631" s="15"/>
      <c r="B1631" s="12"/>
      <c r="E1631" s="14"/>
      <c r="F1631" s="14"/>
      <c r="H1631" s="14"/>
      <c r="I1631" s="14"/>
      <c r="J1631" s="14"/>
      <c r="K1631" s="4"/>
      <c r="L1631" s="15"/>
      <c r="M1631" s="15"/>
      <c r="N1631" s="15"/>
      <c r="O1631" s="15"/>
      <c r="P1631" s="15"/>
      <c r="Q1631" s="15"/>
      <c r="R1631" s="15"/>
      <c r="S1631" s="15"/>
    </row>
    <row r="1634" spans="1:19" s="13" customFormat="1" x14ac:dyDescent="0.25">
      <c r="A1634" s="15"/>
      <c r="B1634" s="12"/>
      <c r="D1634" s="14"/>
      <c r="F1634" s="14"/>
      <c r="H1634" s="14"/>
      <c r="I1634" s="14"/>
      <c r="K1634" s="4"/>
      <c r="L1634" s="15"/>
      <c r="M1634" s="15"/>
      <c r="N1634" s="15"/>
      <c r="O1634" s="15"/>
      <c r="P1634" s="15"/>
      <c r="Q1634" s="15"/>
      <c r="R1634" s="15"/>
      <c r="S1634" s="15"/>
    </row>
    <row r="1635" spans="1:19" s="13" customFormat="1" x14ac:dyDescent="0.25">
      <c r="A1635" s="15"/>
      <c r="B1635" s="12"/>
      <c r="E1635" s="14"/>
      <c r="F1635" s="14"/>
      <c r="H1635" s="14"/>
      <c r="I1635" s="14"/>
      <c r="J1635" s="14"/>
      <c r="K1635" s="4"/>
      <c r="L1635" s="15"/>
      <c r="M1635" s="15"/>
      <c r="N1635" s="15"/>
      <c r="O1635" s="15"/>
      <c r="P1635" s="15"/>
      <c r="Q1635" s="15"/>
      <c r="R1635" s="15"/>
      <c r="S1635" s="15"/>
    </row>
    <row r="1636" spans="1:19" s="13" customFormat="1" x14ac:dyDescent="0.25">
      <c r="A1636" s="15"/>
      <c r="B1636" s="12"/>
      <c r="D1636" s="14"/>
      <c r="E1636" s="14"/>
      <c r="F1636" s="14"/>
      <c r="H1636" s="14"/>
      <c r="I1636" s="14"/>
      <c r="J1636" s="14"/>
      <c r="K1636" s="4"/>
      <c r="L1636" s="15"/>
      <c r="M1636" s="15"/>
      <c r="N1636" s="15"/>
      <c r="O1636" s="15"/>
      <c r="P1636" s="15"/>
      <c r="Q1636" s="15"/>
      <c r="R1636" s="15"/>
      <c r="S1636" s="15"/>
    </row>
    <row r="1638" spans="1:19" s="13" customFormat="1" x14ac:dyDescent="0.25">
      <c r="A1638" s="15"/>
      <c r="B1638" s="12"/>
      <c r="D1638" s="14"/>
      <c r="F1638" s="14"/>
      <c r="H1638" s="14"/>
      <c r="I1638" s="14"/>
      <c r="K1638" s="4"/>
      <c r="L1638" s="15"/>
      <c r="M1638" s="15"/>
      <c r="N1638" s="15"/>
      <c r="O1638" s="15"/>
      <c r="P1638" s="15"/>
      <c r="Q1638" s="15"/>
      <c r="R1638" s="15"/>
      <c r="S1638" s="15"/>
    </row>
    <row r="1639" spans="1:19" s="13" customFormat="1" x14ac:dyDescent="0.25">
      <c r="A1639" s="15"/>
      <c r="B1639" s="12"/>
      <c r="E1639" s="14"/>
      <c r="F1639" s="14"/>
      <c r="H1639" s="14"/>
      <c r="I1639" s="14"/>
      <c r="J1639" s="14"/>
      <c r="K1639" s="4"/>
      <c r="L1639" s="15"/>
      <c r="M1639" s="15"/>
      <c r="N1639" s="15"/>
      <c r="O1639" s="15"/>
      <c r="P1639" s="15"/>
      <c r="Q1639" s="15"/>
      <c r="R1639" s="15"/>
      <c r="S1639" s="15"/>
    </row>
    <row r="1643" spans="1:19" s="13" customFormat="1" x14ac:dyDescent="0.25">
      <c r="A1643" s="15"/>
      <c r="B1643" s="12"/>
      <c r="D1643" s="14"/>
      <c r="F1643" s="14"/>
      <c r="H1643" s="14"/>
      <c r="I1643" s="14"/>
      <c r="K1643" s="4"/>
      <c r="L1643" s="15"/>
      <c r="M1643" s="15"/>
      <c r="N1643" s="15"/>
      <c r="O1643" s="15"/>
      <c r="P1643" s="15"/>
      <c r="Q1643" s="15"/>
      <c r="R1643" s="15"/>
      <c r="S1643" s="15"/>
    </row>
    <row r="1644" spans="1:19" s="13" customFormat="1" x14ac:dyDescent="0.25">
      <c r="A1644" s="15"/>
      <c r="B1644" s="12"/>
      <c r="E1644" s="14"/>
      <c r="F1644" s="14"/>
      <c r="H1644" s="14"/>
      <c r="I1644" s="14"/>
      <c r="J1644" s="14"/>
      <c r="K1644" s="4"/>
      <c r="L1644" s="15"/>
      <c r="M1644" s="15"/>
      <c r="N1644" s="15"/>
      <c r="O1644" s="15"/>
      <c r="P1644" s="15"/>
      <c r="Q1644" s="15"/>
      <c r="R1644" s="15"/>
      <c r="S1644" s="15"/>
    </row>
    <row r="1646" spans="1:19" s="13" customFormat="1" x14ac:dyDescent="0.25">
      <c r="A1646" s="15"/>
      <c r="B1646" s="12"/>
      <c r="D1646" s="14"/>
      <c r="E1646" s="14"/>
      <c r="F1646" s="14"/>
      <c r="H1646" s="14"/>
      <c r="I1646" s="14"/>
      <c r="J1646" s="14"/>
      <c r="K1646" s="4"/>
      <c r="L1646" s="15"/>
      <c r="M1646" s="15"/>
      <c r="N1646" s="15"/>
      <c r="O1646" s="15"/>
      <c r="P1646" s="15"/>
      <c r="Q1646" s="15"/>
      <c r="R1646" s="15"/>
      <c r="S1646" s="15"/>
    </row>
    <row r="1648" spans="1:19" s="13" customFormat="1" x14ac:dyDescent="0.25">
      <c r="A1648" s="15"/>
      <c r="B1648" s="12"/>
      <c r="D1648" s="14"/>
      <c r="F1648" s="14"/>
      <c r="H1648" s="14"/>
      <c r="I1648" s="14"/>
      <c r="K1648" s="4"/>
      <c r="L1648" s="15"/>
      <c r="M1648" s="15"/>
      <c r="N1648" s="15"/>
      <c r="O1648" s="15"/>
      <c r="P1648" s="15"/>
      <c r="Q1648" s="15"/>
      <c r="R1648" s="15"/>
      <c r="S1648" s="15"/>
    </row>
    <row r="1649" spans="1:19" s="13" customFormat="1" x14ac:dyDescent="0.25">
      <c r="A1649" s="15"/>
      <c r="B1649" s="12"/>
      <c r="E1649" s="14"/>
      <c r="F1649" s="14"/>
      <c r="H1649" s="14"/>
      <c r="I1649" s="14"/>
      <c r="J1649" s="14"/>
      <c r="K1649" s="4"/>
      <c r="L1649" s="15"/>
      <c r="M1649" s="15"/>
      <c r="N1649" s="15"/>
      <c r="O1649" s="15"/>
      <c r="P1649" s="15"/>
      <c r="Q1649" s="15"/>
      <c r="R1649" s="15"/>
      <c r="S1649" s="15"/>
    </row>
    <row r="1653" spans="1:19" s="13" customFormat="1" x14ac:dyDescent="0.25">
      <c r="A1653" s="15"/>
      <c r="B1653" s="12"/>
      <c r="D1653" s="14"/>
      <c r="F1653" s="14"/>
      <c r="H1653" s="14"/>
      <c r="I1653" s="14"/>
      <c r="K1653" s="4"/>
      <c r="L1653" s="15"/>
      <c r="M1653" s="15"/>
      <c r="N1653" s="15"/>
      <c r="O1653" s="15"/>
      <c r="P1653" s="15"/>
      <c r="Q1653" s="15"/>
      <c r="R1653" s="15"/>
      <c r="S1653" s="15"/>
    </row>
    <row r="1654" spans="1:19" s="13" customFormat="1" x14ac:dyDescent="0.25">
      <c r="A1654" s="15"/>
      <c r="B1654" s="12"/>
      <c r="E1654" s="14"/>
      <c r="F1654" s="14"/>
      <c r="H1654" s="14"/>
      <c r="I1654" s="14"/>
      <c r="J1654" s="14"/>
      <c r="K1654" s="4"/>
      <c r="L1654" s="15"/>
      <c r="M1654" s="15"/>
      <c r="N1654" s="15"/>
      <c r="O1654" s="15"/>
      <c r="P1654" s="15"/>
      <c r="Q1654" s="15"/>
      <c r="R1654" s="15"/>
      <c r="S1654" s="15"/>
    </row>
    <row r="1656" spans="1:19" s="13" customFormat="1" x14ac:dyDescent="0.25">
      <c r="A1656" s="15"/>
      <c r="B1656" s="12"/>
      <c r="D1656" s="14"/>
      <c r="F1656" s="14"/>
      <c r="H1656" s="14"/>
      <c r="I1656" s="14"/>
      <c r="K1656" s="4"/>
      <c r="L1656" s="15"/>
      <c r="M1656" s="15"/>
      <c r="N1656" s="15"/>
      <c r="O1656" s="15"/>
      <c r="P1656" s="15"/>
      <c r="Q1656" s="15"/>
      <c r="R1656" s="15"/>
      <c r="S1656" s="15"/>
    </row>
    <row r="1657" spans="1:19" s="13" customFormat="1" x14ac:dyDescent="0.25">
      <c r="A1657" s="15"/>
      <c r="B1657" s="12"/>
      <c r="E1657" s="14"/>
      <c r="F1657" s="14"/>
      <c r="H1657" s="14"/>
      <c r="I1657" s="14"/>
      <c r="J1657" s="14"/>
      <c r="K1657" s="4"/>
      <c r="L1657" s="15"/>
      <c r="M1657" s="15"/>
      <c r="N1657" s="15"/>
      <c r="O1657" s="15"/>
      <c r="P1657" s="15"/>
      <c r="Q1657" s="15"/>
      <c r="R1657" s="15"/>
      <c r="S1657" s="15"/>
    </row>
    <row r="1658" spans="1:19" s="13" customFormat="1" x14ac:dyDescent="0.25">
      <c r="A1658" s="15"/>
      <c r="B1658" s="12"/>
      <c r="D1658" s="14"/>
      <c r="F1658" s="14"/>
      <c r="H1658" s="14"/>
      <c r="I1658" s="14"/>
      <c r="K1658" s="4"/>
      <c r="L1658" s="15"/>
      <c r="M1658" s="15"/>
      <c r="N1658" s="15"/>
      <c r="O1658" s="15"/>
      <c r="P1658" s="15"/>
      <c r="Q1658" s="15"/>
      <c r="R1658" s="15"/>
      <c r="S1658" s="15"/>
    </row>
    <row r="1659" spans="1:19" s="13" customFormat="1" x14ac:dyDescent="0.25">
      <c r="A1659" s="15"/>
      <c r="B1659" s="12"/>
      <c r="E1659" s="14"/>
      <c r="F1659" s="14"/>
      <c r="H1659" s="14"/>
      <c r="I1659" s="14"/>
      <c r="J1659" s="14"/>
      <c r="K1659" s="4"/>
      <c r="L1659" s="15"/>
      <c r="M1659" s="15"/>
      <c r="N1659" s="15"/>
      <c r="O1659" s="15"/>
      <c r="P1659" s="15"/>
      <c r="Q1659" s="15"/>
      <c r="R1659" s="15"/>
      <c r="S1659" s="15"/>
    </row>
    <row r="1660" spans="1:19" s="13" customFormat="1" x14ac:dyDescent="0.25">
      <c r="A1660" s="15"/>
      <c r="B1660" s="12"/>
      <c r="D1660" s="14"/>
      <c r="E1660" s="14"/>
      <c r="F1660" s="14"/>
      <c r="H1660" s="14"/>
      <c r="I1660" s="14"/>
      <c r="J1660" s="14"/>
      <c r="K1660" s="4"/>
      <c r="L1660" s="15"/>
      <c r="M1660" s="15"/>
      <c r="N1660" s="15"/>
      <c r="O1660" s="15"/>
      <c r="P1660" s="15"/>
      <c r="Q1660" s="15"/>
      <c r="R1660" s="15"/>
      <c r="S1660" s="15"/>
    </row>
    <row r="1661" spans="1:19" s="13" customFormat="1" x14ac:dyDescent="0.25">
      <c r="A1661" s="15"/>
      <c r="B1661" s="12"/>
      <c r="D1661" s="14"/>
      <c r="F1661" s="14"/>
      <c r="H1661" s="14"/>
      <c r="I1661" s="14"/>
      <c r="K1661" s="4"/>
      <c r="L1661" s="15"/>
      <c r="M1661" s="15"/>
      <c r="N1661" s="15"/>
      <c r="O1661" s="15"/>
      <c r="P1661" s="15"/>
      <c r="Q1661" s="15"/>
      <c r="R1661" s="15"/>
      <c r="S1661" s="15"/>
    </row>
    <row r="1662" spans="1:19" s="13" customFormat="1" x14ac:dyDescent="0.25">
      <c r="A1662" s="15"/>
      <c r="B1662" s="12"/>
      <c r="F1662" s="14"/>
      <c r="H1662" s="14"/>
      <c r="I1662" s="14"/>
      <c r="K1662" s="4"/>
      <c r="L1662" s="15"/>
      <c r="M1662" s="15"/>
      <c r="N1662" s="15"/>
      <c r="O1662" s="15"/>
      <c r="P1662" s="15"/>
      <c r="Q1662" s="15"/>
      <c r="R1662" s="15"/>
      <c r="S1662" s="15"/>
    </row>
    <row r="1663" spans="1:19" s="13" customFormat="1" x14ac:dyDescent="0.25">
      <c r="A1663" s="15"/>
      <c r="B1663" s="12"/>
      <c r="E1663" s="14"/>
      <c r="F1663" s="14"/>
      <c r="H1663" s="14"/>
      <c r="I1663" s="14"/>
      <c r="J1663" s="14"/>
      <c r="K1663" s="4"/>
      <c r="L1663" s="15"/>
      <c r="M1663" s="15"/>
      <c r="N1663" s="15"/>
      <c r="O1663" s="15"/>
      <c r="P1663" s="15"/>
      <c r="Q1663" s="15"/>
      <c r="R1663" s="15"/>
      <c r="S1663" s="15"/>
    </row>
    <row r="1664" spans="1:19" s="13" customFormat="1" x14ac:dyDescent="0.25">
      <c r="A1664" s="15"/>
      <c r="B1664" s="12"/>
      <c r="D1664" s="14"/>
      <c r="E1664" s="14"/>
      <c r="F1664" s="14"/>
      <c r="H1664" s="14"/>
      <c r="I1664" s="14"/>
      <c r="J1664" s="14"/>
      <c r="K1664" s="4"/>
      <c r="L1664" s="15"/>
      <c r="M1664" s="15"/>
      <c r="N1664" s="15"/>
      <c r="O1664" s="15"/>
      <c r="P1664" s="15"/>
      <c r="Q1664" s="15"/>
      <c r="R1664" s="15"/>
      <c r="S1664" s="15"/>
    </row>
    <row r="1669" spans="1:19" s="13" customFormat="1" x14ac:dyDescent="0.25">
      <c r="A1669" s="15"/>
      <c r="B1669" s="12"/>
      <c r="D1669" s="14"/>
      <c r="E1669" s="14"/>
      <c r="F1669" s="14"/>
      <c r="H1669" s="14"/>
      <c r="I1669" s="14"/>
      <c r="J1669" s="14"/>
      <c r="K1669" s="4"/>
      <c r="L1669" s="15"/>
      <c r="M1669" s="15"/>
      <c r="N1669" s="15"/>
      <c r="O1669" s="15"/>
      <c r="P1669" s="15"/>
      <c r="Q1669" s="15"/>
      <c r="R1669" s="15"/>
      <c r="S1669" s="15"/>
    </row>
    <row r="1670" spans="1:19" s="13" customFormat="1" x14ac:dyDescent="0.25">
      <c r="A1670" s="15"/>
      <c r="B1670" s="12"/>
      <c r="D1670" s="14"/>
      <c r="F1670" s="14"/>
      <c r="H1670" s="14"/>
      <c r="I1670" s="14"/>
      <c r="K1670" s="4"/>
      <c r="L1670" s="15"/>
      <c r="M1670" s="15"/>
      <c r="N1670" s="15"/>
      <c r="O1670" s="15"/>
      <c r="P1670" s="15"/>
      <c r="Q1670" s="15"/>
      <c r="R1670" s="15"/>
      <c r="S1670" s="15"/>
    </row>
    <row r="1671" spans="1:19" s="13" customFormat="1" x14ac:dyDescent="0.25">
      <c r="A1671" s="15"/>
      <c r="B1671" s="12"/>
      <c r="E1671" s="14"/>
      <c r="F1671" s="14"/>
      <c r="H1671" s="14"/>
      <c r="I1671" s="14"/>
      <c r="J1671" s="14"/>
      <c r="K1671" s="4"/>
      <c r="L1671" s="15"/>
      <c r="M1671" s="15"/>
      <c r="N1671" s="15"/>
      <c r="O1671" s="15"/>
      <c r="P1671" s="15"/>
      <c r="Q1671" s="15"/>
      <c r="R1671" s="15"/>
      <c r="S1671" s="15"/>
    </row>
    <row r="1674" spans="1:19" s="13" customFormat="1" x14ac:dyDescent="0.25">
      <c r="A1674" s="15"/>
      <c r="B1674" s="12"/>
      <c r="D1674" s="14"/>
      <c r="F1674" s="14"/>
      <c r="H1674" s="14"/>
      <c r="I1674" s="14"/>
      <c r="K1674" s="4"/>
      <c r="L1674" s="15"/>
      <c r="M1674" s="15"/>
      <c r="N1674" s="15"/>
      <c r="O1674" s="15"/>
      <c r="P1674" s="15"/>
      <c r="Q1674" s="15"/>
      <c r="R1674" s="15"/>
      <c r="S1674" s="15"/>
    </row>
    <row r="1675" spans="1:19" s="13" customFormat="1" x14ac:dyDescent="0.25">
      <c r="A1675" s="15"/>
      <c r="B1675" s="12"/>
      <c r="E1675" s="14"/>
      <c r="F1675" s="14"/>
      <c r="H1675" s="14"/>
      <c r="I1675" s="14"/>
      <c r="J1675" s="14"/>
      <c r="K1675" s="4"/>
      <c r="L1675" s="15"/>
      <c r="M1675" s="15"/>
      <c r="N1675" s="15"/>
      <c r="O1675" s="15"/>
      <c r="P1675" s="15"/>
      <c r="Q1675" s="15"/>
      <c r="R1675" s="15"/>
      <c r="S1675" s="15"/>
    </row>
    <row r="1679" spans="1:19" s="13" customFormat="1" x14ac:dyDescent="0.25">
      <c r="A1679" s="15"/>
      <c r="B1679" s="12"/>
      <c r="D1679" s="14"/>
      <c r="E1679" s="14"/>
      <c r="F1679" s="14"/>
      <c r="H1679" s="14"/>
      <c r="I1679" s="14"/>
      <c r="J1679" s="14"/>
      <c r="K1679" s="4"/>
      <c r="L1679" s="15"/>
      <c r="M1679" s="15"/>
      <c r="N1679" s="15"/>
      <c r="O1679" s="15"/>
      <c r="P1679" s="15"/>
      <c r="Q1679" s="15"/>
      <c r="R1679" s="15"/>
      <c r="S1679" s="15"/>
    </row>
    <row r="1682" spans="1:19" s="13" customFormat="1" x14ac:dyDescent="0.25">
      <c r="A1682" s="15"/>
      <c r="B1682" s="12"/>
      <c r="D1682" s="14"/>
      <c r="F1682" s="14"/>
      <c r="H1682" s="14"/>
      <c r="I1682" s="14"/>
      <c r="K1682" s="4"/>
      <c r="L1682" s="15"/>
      <c r="M1682" s="15"/>
      <c r="N1682" s="15"/>
      <c r="O1682" s="15"/>
      <c r="P1682" s="15"/>
      <c r="Q1682" s="15"/>
      <c r="R1682" s="15"/>
      <c r="S1682" s="15"/>
    </row>
    <row r="1683" spans="1:19" s="13" customFormat="1" x14ac:dyDescent="0.25">
      <c r="A1683" s="15"/>
      <c r="B1683" s="12"/>
      <c r="E1683" s="14"/>
      <c r="F1683" s="14"/>
      <c r="H1683" s="14"/>
      <c r="I1683" s="14"/>
      <c r="J1683" s="14"/>
      <c r="K1683" s="4"/>
      <c r="L1683" s="15"/>
      <c r="M1683" s="15"/>
      <c r="N1683" s="15"/>
      <c r="O1683" s="15"/>
      <c r="P1683" s="15"/>
      <c r="Q1683" s="15"/>
      <c r="R1683" s="15"/>
      <c r="S1683" s="15"/>
    </row>
    <row r="1684" spans="1:19" s="13" customFormat="1" x14ac:dyDescent="0.25">
      <c r="A1684" s="15"/>
      <c r="B1684" s="12"/>
      <c r="D1684" s="14"/>
      <c r="F1684" s="14"/>
      <c r="H1684" s="14"/>
      <c r="I1684" s="14"/>
      <c r="K1684" s="4"/>
      <c r="L1684" s="15"/>
      <c r="M1684" s="15"/>
      <c r="N1684" s="15"/>
      <c r="O1684" s="15"/>
      <c r="P1684" s="15"/>
      <c r="Q1684" s="15"/>
      <c r="R1684" s="15"/>
      <c r="S1684" s="15"/>
    </row>
    <row r="1685" spans="1:19" s="13" customFormat="1" x14ac:dyDescent="0.25">
      <c r="A1685" s="15"/>
      <c r="B1685" s="12"/>
      <c r="F1685" s="14"/>
      <c r="H1685" s="14"/>
      <c r="I1685" s="14"/>
      <c r="K1685" s="4"/>
      <c r="L1685" s="15"/>
      <c r="M1685" s="15"/>
      <c r="N1685" s="15"/>
      <c r="O1685" s="15"/>
      <c r="P1685" s="15"/>
      <c r="Q1685" s="15"/>
      <c r="R1685" s="15"/>
      <c r="S1685" s="15"/>
    </row>
    <row r="1686" spans="1:19" s="13" customFormat="1" x14ac:dyDescent="0.25">
      <c r="A1686" s="15"/>
      <c r="B1686" s="12"/>
      <c r="F1686" s="14"/>
      <c r="H1686" s="14"/>
      <c r="I1686" s="14"/>
      <c r="K1686" s="4"/>
      <c r="L1686" s="15"/>
      <c r="M1686" s="15"/>
      <c r="N1686" s="15"/>
      <c r="O1686" s="15"/>
      <c r="P1686" s="15"/>
      <c r="Q1686" s="15"/>
      <c r="R1686" s="15"/>
      <c r="S1686" s="15"/>
    </row>
    <row r="1687" spans="1:19" s="13" customFormat="1" x14ac:dyDescent="0.25">
      <c r="A1687" s="15"/>
      <c r="B1687" s="12"/>
      <c r="F1687" s="14"/>
      <c r="H1687" s="14"/>
      <c r="I1687" s="14"/>
      <c r="K1687" s="4"/>
      <c r="L1687" s="15"/>
      <c r="M1687" s="15"/>
      <c r="N1687" s="15"/>
      <c r="O1687" s="15"/>
      <c r="P1687" s="15"/>
      <c r="Q1687" s="15"/>
      <c r="R1687" s="15"/>
      <c r="S1687" s="15"/>
    </row>
    <row r="1688" spans="1:19" s="13" customFormat="1" x14ac:dyDescent="0.25">
      <c r="A1688" s="15"/>
      <c r="B1688" s="12"/>
      <c r="E1688" s="14"/>
      <c r="F1688" s="14"/>
      <c r="H1688" s="14"/>
      <c r="I1688" s="14"/>
      <c r="J1688" s="14"/>
      <c r="K1688" s="4"/>
      <c r="L1688" s="15"/>
      <c r="M1688" s="15"/>
      <c r="N1688" s="15"/>
      <c r="O1688" s="15"/>
      <c r="P1688" s="15"/>
      <c r="Q1688" s="15"/>
      <c r="R1688" s="15"/>
      <c r="S1688" s="15"/>
    </row>
    <row r="1689" spans="1:19" s="13" customFormat="1" x14ac:dyDescent="0.25">
      <c r="A1689" s="15"/>
      <c r="B1689" s="12"/>
      <c r="D1689" s="14"/>
      <c r="F1689" s="14"/>
      <c r="H1689" s="14"/>
      <c r="I1689" s="14"/>
      <c r="K1689" s="4"/>
      <c r="L1689" s="15"/>
      <c r="M1689" s="15"/>
      <c r="N1689" s="15"/>
      <c r="O1689" s="15"/>
      <c r="P1689" s="15"/>
      <c r="Q1689" s="15"/>
      <c r="R1689" s="15"/>
      <c r="S1689" s="15"/>
    </row>
    <row r="1690" spans="1:19" s="13" customFormat="1" x14ac:dyDescent="0.25">
      <c r="A1690" s="15"/>
      <c r="B1690" s="12"/>
      <c r="E1690" s="14"/>
      <c r="F1690" s="14"/>
      <c r="H1690" s="14"/>
      <c r="I1690" s="14"/>
      <c r="J1690" s="14"/>
      <c r="K1690" s="4"/>
      <c r="L1690" s="15"/>
      <c r="M1690" s="15"/>
      <c r="N1690" s="15"/>
      <c r="O1690" s="15"/>
      <c r="P1690" s="15"/>
      <c r="Q1690" s="15"/>
      <c r="R1690" s="15"/>
      <c r="S1690" s="15"/>
    </row>
    <row r="1691" spans="1:19" s="13" customFormat="1" x14ac:dyDescent="0.25">
      <c r="A1691" s="15"/>
      <c r="B1691" s="12"/>
      <c r="D1691" s="14"/>
      <c r="F1691" s="14"/>
      <c r="H1691" s="14"/>
      <c r="I1691" s="14"/>
      <c r="K1691" s="4"/>
      <c r="L1691" s="15"/>
      <c r="M1691" s="15"/>
      <c r="N1691" s="15"/>
      <c r="O1691" s="15"/>
      <c r="P1691" s="15"/>
      <c r="Q1691" s="15"/>
      <c r="R1691" s="15"/>
      <c r="S1691" s="15"/>
    </row>
    <row r="1692" spans="1:19" s="13" customFormat="1" x14ac:dyDescent="0.25">
      <c r="A1692" s="15"/>
      <c r="B1692" s="12"/>
      <c r="F1692" s="14"/>
      <c r="H1692" s="14"/>
      <c r="I1692" s="14"/>
      <c r="K1692" s="4"/>
      <c r="L1692" s="15"/>
      <c r="M1692" s="15"/>
      <c r="N1692" s="15"/>
      <c r="O1692" s="15"/>
      <c r="P1692" s="15"/>
      <c r="Q1692" s="15"/>
      <c r="R1692" s="15"/>
      <c r="S1692" s="15"/>
    </row>
    <row r="1693" spans="1:19" s="13" customFormat="1" x14ac:dyDescent="0.25">
      <c r="A1693" s="15"/>
      <c r="B1693" s="12"/>
      <c r="E1693" s="14"/>
      <c r="F1693" s="14"/>
      <c r="H1693" s="14"/>
      <c r="I1693" s="14"/>
      <c r="J1693" s="14"/>
      <c r="K1693" s="4"/>
      <c r="L1693" s="15"/>
      <c r="M1693" s="15"/>
      <c r="N1693" s="15"/>
      <c r="O1693" s="15"/>
      <c r="P1693" s="15"/>
      <c r="Q1693" s="15"/>
      <c r="R1693" s="15"/>
      <c r="S1693" s="15"/>
    </row>
    <row r="1694" spans="1:19" s="13" customFormat="1" x14ac:dyDescent="0.25">
      <c r="A1694" s="15"/>
      <c r="B1694" s="12"/>
      <c r="D1694" s="14"/>
      <c r="F1694" s="14"/>
      <c r="H1694" s="14"/>
      <c r="I1694" s="14"/>
      <c r="K1694" s="4"/>
      <c r="L1694" s="15"/>
      <c r="M1694" s="15"/>
      <c r="N1694" s="15"/>
      <c r="O1694" s="15"/>
      <c r="P1694" s="15"/>
      <c r="Q1694" s="15"/>
      <c r="R1694" s="15"/>
      <c r="S1694" s="15"/>
    </row>
    <row r="1695" spans="1:19" s="13" customFormat="1" x14ac:dyDescent="0.25">
      <c r="A1695" s="15"/>
      <c r="B1695" s="12"/>
      <c r="E1695" s="14"/>
      <c r="F1695" s="14"/>
      <c r="H1695" s="14"/>
      <c r="I1695" s="14"/>
      <c r="J1695" s="14"/>
      <c r="K1695" s="4"/>
      <c r="L1695" s="15"/>
      <c r="M1695" s="15"/>
      <c r="N1695" s="15"/>
      <c r="O1695" s="15"/>
      <c r="P1695" s="15"/>
      <c r="Q1695" s="15"/>
      <c r="R1695" s="15"/>
      <c r="S1695" s="15"/>
    </row>
    <row r="1696" spans="1:19" s="13" customFormat="1" x14ac:dyDescent="0.25">
      <c r="A1696" s="15"/>
      <c r="B1696" s="12"/>
      <c r="D1696" s="14"/>
      <c r="E1696" s="14"/>
      <c r="F1696" s="14"/>
      <c r="H1696" s="14"/>
      <c r="I1696" s="14"/>
      <c r="J1696" s="14"/>
      <c r="K1696" s="4"/>
      <c r="L1696" s="15"/>
      <c r="M1696" s="15"/>
      <c r="N1696" s="15"/>
      <c r="O1696" s="15"/>
      <c r="P1696" s="15"/>
      <c r="Q1696" s="15"/>
      <c r="R1696" s="15"/>
      <c r="S1696" s="15"/>
    </row>
    <row r="1700" spans="1:19" s="13" customFormat="1" x14ac:dyDescent="0.25">
      <c r="A1700" s="15"/>
      <c r="B1700" s="12"/>
      <c r="D1700" s="14"/>
      <c r="F1700" s="14"/>
      <c r="H1700" s="14"/>
      <c r="I1700" s="14"/>
      <c r="K1700" s="4"/>
      <c r="L1700" s="15"/>
      <c r="M1700" s="15"/>
      <c r="N1700" s="15"/>
      <c r="O1700" s="15"/>
      <c r="P1700" s="15"/>
      <c r="Q1700" s="15"/>
      <c r="R1700" s="15"/>
      <c r="S1700" s="15"/>
    </row>
    <row r="1701" spans="1:19" s="13" customFormat="1" x14ac:dyDescent="0.25">
      <c r="A1701" s="15"/>
      <c r="B1701" s="12"/>
      <c r="E1701" s="14"/>
      <c r="F1701" s="14"/>
      <c r="H1701" s="14"/>
      <c r="I1701" s="14"/>
      <c r="J1701" s="14"/>
      <c r="K1701" s="4"/>
      <c r="L1701" s="15"/>
      <c r="M1701" s="15"/>
      <c r="N1701" s="15"/>
      <c r="O1701" s="15"/>
      <c r="P1701" s="15"/>
      <c r="Q1701" s="15"/>
      <c r="R1701" s="15"/>
      <c r="S1701" s="15"/>
    </row>
    <row r="1702" spans="1:19" s="13" customFormat="1" x14ac:dyDescent="0.25">
      <c r="A1702" s="15"/>
      <c r="B1702" s="12"/>
      <c r="D1702" s="14"/>
      <c r="F1702" s="14"/>
      <c r="H1702" s="14"/>
      <c r="I1702" s="14"/>
      <c r="K1702" s="4"/>
      <c r="L1702" s="15"/>
      <c r="M1702" s="15"/>
      <c r="N1702" s="15"/>
      <c r="O1702" s="15"/>
      <c r="P1702" s="15"/>
      <c r="Q1702" s="15"/>
      <c r="R1702" s="15"/>
      <c r="S1702" s="15"/>
    </row>
    <row r="1703" spans="1:19" s="13" customFormat="1" x14ac:dyDescent="0.25">
      <c r="A1703" s="15"/>
      <c r="B1703" s="12"/>
      <c r="E1703" s="14"/>
      <c r="F1703" s="14"/>
      <c r="H1703" s="14"/>
      <c r="I1703" s="14"/>
      <c r="J1703" s="14"/>
      <c r="K1703" s="4"/>
      <c r="L1703" s="15"/>
      <c r="M1703" s="15"/>
      <c r="N1703" s="15"/>
      <c r="O1703" s="15"/>
      <c r="P1703" s="15"/>
      <c r="Q1703" s="15"/>
      <c r="R1703" s="15"/>
      <c r="S1703" s="15"/>
    </row>
    <row r="1705" spans="1:19" s="13" customFormat="1" x14ac:dyDescent="0.25">
      <c r="A1705" s="15"/>
      <c r="B1705" s="12"/>
      <c r="D1705" s="14"/>
      <c r="F1705" s="14"/>
      <c r="H1705" s="14"/>
      <c r="I1705" s="14"/>
      <c r="K1705" s="4"/>
      <c r="L1705" s="15"/>
      <c r="M1705" s="15"/>
      <c r="N1705" s="15"/>
      <c r="O1705" s="15"/>
      <c r="P1705" s="15"/>
      <c r="Q1705" s="15"/>
      <c r="R1705" s="15"/>
      <c r="S1705" s="15"/>
    </row>
    <row r="1706" spans="1:19" s="13" customFormat="1" x14ac:dyDescent="0.25">
      <c r="A1706" s="15"/>
      <c r="B1706" s="12"/>
      <c r="F1706" s="14"/>
      <c r="H1706" s="14"/>
      <c r="I1706" s="14"/>
      <c r="K1706" s="4"/>
      <c r="L1706" s="15"/>
      <c r="M1706" s="15"/>
      <c r="N1706" s="15"/>
      <c r="O1706" s="15"/>
      <c r="P1706" s="15"/>
      <c r="Q1706" s="15"/>
      <c r="R1706" s="15"/>
      <c r="S1706" s="15"/>
    </row>
    <row r="1707" spans="1:19" s="13" customFormat="1" x14ac:dyDescent="0.25">
      <c r="A1707" s="15"/>
      <c r="B1707" s="12"/>
      <c r="F1707" s="14"/>
      <c r="H1707" s="14"/>
      <c r="I1707" s="14"/>
      <c r="K1707" s="4"/>
      <c r="L1707" s="15"/>
      <c r="M1707" s="15"/>
      <c r="N1707" s="15"/>
      <c r="O1707" s="15"/>
      <c r="P1707" s="15"/>
      <c r="Q1707" s="15"/>
      <c r="R1707" s="15"/>
      <c r="S1707" s="15"/>
    </row>
    <row r="1708" spans="1:19" s="13" customFormat="1" x14ac:dyDescent="0.25">
      <c r="A1708" s="15"/>
      <c r="B1708" s="12"/>
      <c r="F1708" s="14"/>
      <c r="H1708" s="14"/>
      <c r="I1708" s="14"/>
      <c r="K1708" s="4"/>
      <c r="L1708" s="15"/>
      <c r="M1708" s="15"/>
      <c r="N1708" s="15"/>
      <c r="O1708" s="15"/>
      <c r="P1708" s="15"/>
      <c r="Q1708" s="15"/>
      <c r="R1708" s="15"/>
      <c r="S1708" s="15"/>
    </row>
    <row r="1709" spans="1:19" s="13" customFormat="1" x14ac:dyDescent="0.25">
      <c r="A1709" s="15"/>
      <c r="B1709" s="12"/>
      <c r="F1709" s="14"/>
      <c r="H1709" s="14"/>
      <c r="I1709" s="14"/>
      <c r="K1709" s="4"/>
      <c r="L1709" s="15"/>
      <c r="M1709" s="15"/>
      <c r="N1709" s="15"/>
      <c r="O1709" s="15"/>
      <c r="P1709" s="15"/>
      <c r="Q1709" s="15"/>
      <c r="R1709" s="15"/>
      <c r="S1709" s="15"/>
    </row>
    <row r="1710" spans="1:19" s="13" customFormat="1" x14ac:dyDescent="0.25">
      <c r="A1710" s="15"/>
      <c r="B1710" s="12"/>
      <c r="F1710" s="14"/>
      <c r="H1710" s="14"/>
      <c r="I1710" s="14"/>
      <c r="K1710" s="4"/>
      <c r="L1710" s="15"/>
      <c r="M1710" s="15"/>
      <c r="N1710" s="15"/>
      <c r="O1710" s="15"/>
      <c r="P1710" s="15"/>
      <c r="Q1710" s="15"/>
      <c r="R1710" s="15"/>
      <c r="S1710" s="15"/>
    </row>
    <row r="1711" spans="1:19" s="13" customFormat="1" x14ac:dyDescent="0.25">
      <c r="A1711" s="15"/>
      <c r="B1711" s="12"/>
      <c r="E1711" s="14"/>
      <c r="F1711" s="14"/>
      <c r="H1711" s="14"/>
      <c r="I1711" s="14"/>
      <c r="J1711" s="14"/>
      <c r="K1711" s="4"/>
      <c r="L1711" s="15"/>
      <c r="M1711" s="15"/>
      <c r="N1711" s="15"/>
      <c r="O1711" s="15"/>
      <c r="P1711" s="15"/>
      <c r="Q1711" s="15"/>
      <c r="R1711" s="15"/>
      <c r="S1711" s="15"/>
    </row>
    <row r="1712" spans="1:19" s="13" customFormat="1" x14ac:dyDescent="0.25">
      <c r="A1712" s="15"/>
      <c r="B1712" s="12"/>
      <c r="D1712" s="14"/>
      <c r="F1712" s="14"/>
      <c r="H1712" s="14"/>
      <c r="I1712" s="14"/>
      <c r="K1712" s="4"/>
      <c r="L1712" s="15"/>
      <c r="M1712" s="15"/>
      <c r="N1712" s="15"/>
      <c r="O1712" s="15"/>
      <c r="P1712" s="15"/>
      <c r="Q1712" s="15"/>
      <c r="R1712" s="15"/>
      <c r="S1712" s="15"/>
    </row>
    <row r="1713" spans="1:19" s="13" customFormat="1" x14ac:dyDescent="0.25">
      <c r="A1713" s="15"/>
      <c r="B1713" s="12"/>
      <c r="E1713" s="14"/>
      <c r="F1713" s="14"/>
      <c r="H1713" s="14"/>
      <c r="I1713" s="14"/>
      <c r="J1713" s="14"/>
      <c r="K1713" s="4"/>
      <c r="L1713" s="15"/>
      <c r="M1713" s="15"/>
      <c r="N1713" s="15"/>
      <c r="O1713" s="15"/>
      <c r="P1713" s="15"/>
      <c r="Q1713" s="15"/>
      <c r="R1713" s="15"/>
      <c r="S1713" s="15"/>
    </row>
    <row r="1714" spans="1:19" s="13" customFormat="1" x14ac:dyDescent="0.25">
      <c r="A1714" s="15"/>
      <c r="B1714" s="12"/>
      <c r="D1714" s="14"/>
      <c r="F1714" s="14"/>
      <c r="H1714" s="14"/>
      <c r="I1714" s="14"/>
      <c r="K1714" s="4"/>
      <c r="L1714" s="15"/>
      <c r="M1714" s="15"/>
      <c r="N1714" s="15"/>
      <c r="O1714" s="15"/>
      <c r="P1714" s="15"/>
      <c r="Q1714" s="15"/>
      <c r="R1714" s="15"/>
      <c r="S1714" s="15"/>
    </row>
    <row r="1715" spans="1:19" s="13" customFormat="1" x14ac:dyDescent="0.25">
      <c r="A1715" s="15"/>
      <c r="B1715" s="12"/>
      <c r="F1715" s="14"/>
      <c r="H1715" s="14"/>
      <c r="I1715" s="14"/>
      <c r="K1715" s="4"/>
      <c r="L1715" s="15"/>
      <c r="M1715" s="15"/>
      <c r="N1715" s="15"/>
      <c r="O1715" s="15"/>
      <c r="P1715" s="15"/>
      <c r="Q1715" s="15"/>
      <c r="R1715" s="15"/>
      <c r="S1715" s="15"/>
    </row>
    <row r="1716" spans="1:19" s="13" customFormat="1" x14ac:dyDescent="0.25">
      <c r="A1716" s="15"/>
      <c r="B1716" s="12"/>
      <c r="E1716" s="14"/>
      <c r="F1716" s="14"/>
      <c r="H1716" s="14"/>
      <c r="I1716" s="14"/>
      <c r="J1716" s="14"/>
      <c r="K1716" s="4"/>
      <c r="L1716" s="15"/>
      <c r="M1716" s="15"/>
      <c r="N1716" s="15"/>
      <c r="O1716" s="15"/>
      <c r="P1716" s="15"/>
      <c r="Q1716" s="15"/>
      <c r="R1716" s="15"/>
      <c r="S1716" s="15"/>
    </row>
    <row r="1717" spans="1:19" s="13" customFormat="1" x14ac:dyDescent="0.25">
      <c r="A1717" s="15"/>
      <c r="B1717" s="12"/>
      <c r="D1717" s="14"/>
      <c r="F1717" s="14"/>
      <c r="H1717" s="14"/>
      <c r="I1717" s="14"/>
      <c r="K1717" s="4"/>
      <c r="L1717" s="15"/>
      <c r="M1717" s="15"/>
      <c r="N1717" s="15"/>
      <c r="O1717" s="15"/>
      <c r="P1717" s="15"/>
      <c r="Q1717" s="15"/>
      <c r="R1717" s="15"/>
      <c r="S1717" s="15"/>
    </row>
    <row r="1718" spans="1:19" s="13" customFormat="1" x14ac:dyDescent="0.25">
      <c r="A1718" s="15"/>
      <c r="B1718" s="12"/>
      <c r="E1718" s="14"/>
      <c r="F1718" s="14"/>
      <c r="H1718" s="14"/>
      <c r="I1718" s="14"/>
      <c r="J1718" s="14"/>
      <c r="K1718" s="4"/>
      <c r="L1718" s="15"/>
      <c r="M1718" s="15"/>
      <c r="N1718" s="15"/>
      <c r="O1718" s="15"/>
      <c r="P1718" s="15"/>
      <c r="Q1718" s="15"/>
      <c r="R1718" s="15"/>
      <c r="S1718" s="15"/>
    </row>
    <row r="1720" spans="1:19" s="13" customFormat="1" x14ac:dyDescent="0.25">
      <c r="A1720" s="15"/>
      <c r="B1720" s="12"/>
      <c r="D1720" s="14"/>
      <c r="E1720" s="14"/>
      <c r="F1720" s="14"/>
      <c r="H1720" s="14"/>
      <c r="I1720" s="14"/>
      <c r="J1720" s="14"/>
      <c r="K1720" s="4"/>
      <c r="L1720" s="15"/>
      <c r="M1720" s="15"/>
      <c r="N1720" s="15"/>
      <c r="O1720" s="15"/>
      <c r="P1720" s="15"/>
      <c r="Q1720" s="15"/>
      <c r="R1720" s="15"/>
      <c r="S1720" s="15"/>
    </row>
    <row r="1723" spans="1:19" s="13" customFormat="1" x14ac:dyDescent="0.25">
      <c r="A1723" s="15"/>
      <c r="B1723" s="12"/>
      <c r="D1723" s="14"/>
      <c r="F1723" s="14"/>
      <c r="H1723" s="14"/>
      <c r="I1723" s="14"/>
      <c r="K1723" s="4"/>
      <c r="L1723" s="15"/>
      <c r="M1723" s="15"/>
      <c r="N1723" s="15"/>
      <c r="O1723" s="15"/>
      <c r="P1723" s="15"/>
      <c r="Q1723" s="15"/>
      <c r="R1723" s="15"/>
      <c r="S1723" s="15"/>
    </row>
    <row r="1724" spans="1:19" s="13" customFormat="1" x14ac:dyDescent="0.25">
      <c r="A1724" s="15"/>
      <c r="B1724" s="12"/>
      <c r="E1724" s="14"/>
      <c r="F1724" s="14"/>
      <c r="H1724" s="14"/>
      <c r="I1724" s="14"/>
      <c r="J1724" s="14"/>
      <c r="K1724" s="4"/>
      <c r="L1724" s="15"/>
      <c r="M1724" s="15"/>
      <c r="N1724" s="15"/>
      <c r="O1724" s="15"/>
      <c r="P1724" s="15"/>
      <c r="Q1724" s="15"/>
      <c r="R1724" s="15"/>
      <c r="S1724" s="15"/>
    </row>
    <row r="1726" spans="1:19" s="13" customFormat="1" x14ac:dyDescent="0.25">
      <c r="A1726" s="15"/>
      <c r="B1726" s="12"/>
      <c r="D1726" s="14"/>
      <c r="E1726" s="14"/>
      <c r="F1726" s="14"/>
      <c r="H1726" s="14"/>
      <c r="I1726" s="14"/>
      <c r="J1726" s="14"/>
      <c r="K1726" s="4"/>
      <c r="L1726" s="15"/>
      <c r="M1726" s="15"/>
      <c r="N1726" s="15"/>
      <c r="O1726" s="15"/>
      <c r="P1726" s="15"/>
      <c r="Q1726" s="15"/>
      <c r="R1726" s="15"/>
      <c r="S1726" s="15"/>
    </row>
    <row r="1727" spans="1:19" s="13" customFormat="1" x14ac:dyDescent="0.25">
      <c r="A1727" s="15"/>
      <c r="B1727" s="12"/>
      <c r="D1727" s="14"/>
      <c r="F1727" s="14"/>
      <c r="H1727" s="14"/>
      <c r="I1727" s="14"/>
      <c r="K1727" s="4"/>
      <c r="L1727" s="15"/>
      <c r="M1727" s="15"/>
      <c r="N1727" s="15"/>
      <c r="O1727" s="15"/>
      <c r="P1727" s="15"/>
      <c r="Q1727" s="15"/>
      <c r="R1727" s="15"/>
      <c r="S1727" s="15"/>
    </row>
    <row r="1728" spans="1:19" s="13" customFormat="1" x14ac:dyDescent="0.25">
      <c r="A1728" s="15"/>
      <c r="B1728" s="12"/>
      <c r="E1728" s="14"/>
      <c r="F1728" s="14"/>
      <c r="H1728" s="14"/>
      <c r="I1728" s="14"/>
      <c r="J1728" s="14"/>
      <c r="K1728" s="4"/>
      <c r="L1728" s="15"/>
      <c r="M1728" s="15"/>
      <c r="N1728" s="15"/>
      <c r="O1728" s="15"/>
      <c r="P1728" s="15"/>
      <c r="Q1728" s="15"/>
      <c r="R1728" s="15"/>
      <c r="S1728" s="15"/>
    </row>
    <row r="1731" spans="1:19" s="13" customFormat="1" x14ac:dyDescent="0.25">
      <c r="A1731" s="15"/>
      <c r="B1731" s="12"/>
      <c r="D1731" s="14"/>
      <c r="E1731" s="14"/>
      <c r="F1731" s="14"/>
      <c r="H1731" s="14"/>
      <c r="I1731" s="14"/>
      <c r="J1731" s="14"/>
      <c r="K1731" s="4"/>
      <c r="L1731" s="15"/>
      <c r="M1731" s="15"/>
      <c r="N1731" s="15"/>
      <c r="O1731" s="15"/>
      <c r="P1731" s="15"/>
      <c r="Q1731" s="15"/>
      <c r="R1731" s="15"/>
      <c r="S1731" s="15"/>
    </row>
    <row r="1732" spans="1:19" s="13" customFormat="1" x14ac:dyDescent="0.25">
      <c r="A1732" s="15"/>
      <c r="B1732" s="12"/>
      <c r="D1732" s="14"/>
      <c r="E1732" s="14"/>
      <c r="F1732" s="14"/>
      <c r="H1732" s="14"/>
      <c r="I1732" s="14"/>
      <c r="J1732" s="14"/>
      <c r="K1732" s="4"/>
      <c r="L1732" s="15"/>
      <c r="M1732" s="15"/>
      <c r="N1732" s="15"/>
      <c r="O1732" s="15"/>
      <c r="P1732" s="15"/>
      <c r="Q1732" s="15"/>
      <c r="R1732" s="15"/>
      <c r="S1732" s="15"/>
    </row>
    <row r="1733" spans="1:19" s="13" customFormat="1" x14ac:dyDescent="0.25">
      <c r="A1733" s="15"/>
      <c r="B1733" s="12"/>
      <c r="D1733" s="14"/>
      <c r="E1733" s="14"/>
      <c r="F1733" s="14"/>
      <c r="H1733" s="14"/>
      <c r="I1733" s="14"/>
      <c r="J1733" s="14"/>
      <c r="K1733" s="4"/>
      <c r="L1733" s="15"/>
      <c r="M1733" s="15"/>
      <c r="N1733" s="15"/>
      <c r="O1733" s="15"/>
      <c r="P1733" s="15"/>
      <c r="Q1733" s="15"/>
      <c r="R1733" s="15"/>
      <c r="S1733" s="15"/>
    </row>
    <row r="1734" spans="1:19" s="13" customFormat="1" x14ac:dyDescent="0.25">
      <c r="A1734" s="15"/>
      <c r="B1734" s="12"/>
      <c r="D1734" s="14"/>
      <c r="F1734" s="14"/>
      <c r="H1734" s="14"/>
      <c r="I1734" s="14"/>
      <c r="K1734" s="4"/>
      <c r="L1734" s="15"/>
      <c r="M1734" s="15"/>
      <c r="N1734" s="15"/>
      <c r="O1734" s="15"/>
      <c r="P1734" s="15"/>
      <c r="Q1734" s="15"/>
      <c r="R1734" s="15"/>
      <c r="S1734" s="15"/>
    </row>
    <row r="1735" spans="1:19" s="13" customFormat="1" x14ac:dyDescent="0.25">
      <c r="A1735" s="15"/>
      <c r="B1735" s="12"/>
      <c r="F1735" s="14"/>
      <c r="H1735" s="14"/>
      <c r="I1735" s="14"/>
      <c r="K1735" s="4"/>
      <c r="L1735" s="15"/>
      <c r="M1735" s="15"/>
      <c r="N1735" s="15"/>
      <c r="O1735" s="15"/>
      <c r="P1735" s="15"/>
      <c r="Q1735" s="15"/>
      <c r="R1735" s="15"/>
      <c r="S1735" s="15"/>
    </row>
    <row r="1736" spans="1:19" s="13" customFormat="1" x14ac:dyDescent="0.25">
      <c r="A1736" s="15"/>
      <c r="B1736" s="12"/>
      <c r="E1736" s="14"/>
      <c r="F1736" s="14"/>
      <c r="H1736" s="14"/>
      <c r="I1736" s="14"/>
      <c r="J1736" s="14"/>
      <c r="K1736" s="4"/>
      <c r="L1736" s="15"/>
      <c r="M1736" s="15"/>
      <c r="N1736" s="15"/>
      <c r="O1736" s="15"/>
      <c r="P1736" s="15"/>
      <c r="Q1736" s="15"/>
      <c r="R1736" s="15"/>
      <c r="S1736" s="15"/>
    </row>
    <row r="1738" spans="1:19" s="13" customFormat="1" x14ac:dyDescent="0.25">
      <c r="A1738" s="15"/>
      <c r="B1738" s="12"/>
      <c r="D1738" s="14"/>
      <c r="E1738" s="14"/>
      <c r="F1738" s="14"/>
      <c r="H1738" s="14"/>
      <c r="I1738" s="14"/>
      <c r="J1738" s="14"/>
      <c r="K1738" s="4"/>
      <c r="L1738" s="15"/>
      <c r="M1738" s="15"/>
      <c r="N1738" s="15"/>
      <c r="O1738" s="15"/>
      <c r="P1738" s="15"/>
      <c r="Q1738" s="15"/>
      <c r="R1738" s="15"/>
      <c r="S1738" s="15"/>
    </row>
    <row r="1740" spans="1:19" s="13" customFormat="1" x14ac:dyDescent="0.25">
      <c r="A1740" s="15"/>
      <c r="B1740" s="12"/>
      <c r="D1740" s="14"/>
      <c r="E1740" s="14"/>
      <c r="F1740" s="14"/>
      <c r="H1740" s="14"/>
      <c r="I1740" s="14"/>
      <c r="J1740" s="14"/>
      <c r="K1740" s="4"/>
      <c r="L1740" s="15"/>
      <c r="M1740" s="15"/>
      <c r="N1740" s="15"/>
      <c r="O1740" s="15"/>
      <c r="P1740" s="15"/>
      <c r="Q1740" s="15"/>
      <c r="R1740" s="15"/>
      <c r="S1740" s="15"/>
    </row>
    <row r="1741" spans="1:19" s="13" customFormat="1" x14ac:dyDescent="0.25">
      <c r="A1741" s="15"/>
      <c r="B1741" s="12"/>
      <c r="D1741" s="14"/>
      <c r="E1741" s="14"/>
      <c r="F1741" s="14"/>
      <c r="H1741" s="14"/>
      <c r="I1741" s="14"/>
      <c r="J1741" s="14"/>
      <c r="K1741" s="4"/>
      <c r="L1741" s="15"/>
      <c r="M1741" s="15"/>
      <c r="N1741" s="15"/>
      <c r="O1741" s="15"/>
      <c r="P1741" s="15"/>
      <c r="Q1741" s="15"/>
      <c r="R1741" s="15"/>
      <c r="S1741" s="15"/>
    </row>
    <row r="1742" spans="1:19" s="13" customFormat="1" x14ac:dyDescent="0.25">
      <c r="A1742" s="15"/>
      <c r="B1742" s="12"/>
      <c r="D1742" s="14"/>
      <c r="F1742" s="14"/>
      <c r="H1742" s="14"/>
      <c r="I1742" s="14"/>
      <c r="K1742" s="4"/>
      <c r="L1742" s="15"/>
      <c r="M1742" s="15"/>
      <c r="N1742" s="15"/>
      <c r="O1742" s="15"/>
      <c r="P1742" s="15"/>
      <c r="Q1742" s="15"/>
      <c r="R1742" s="15"/>
      <c r="S1742" s="15"/>
    </row>
    <row r="1743" spans="1:19" s="13" customFormat="1" x14ac:dyDescent="0.25">
      <c r="A1743" s="15"/>
      <c r="B1743" s="12"/>
      <c r="E1743" s="14"/>
      <c r="F1743" s="14"/>
      <c r="H1743" s="14"/>
      <c r="I1743" s="14"/>
      <c r="J1743" s="14"/>
      <c r="K1743" s="4"/>
      <c r="L1743" s="15"/>
      <c r="M1743" s="15"/>
      <c r="N1743" s="15"/>
      <c r="O1743" s="15"/>
      <c r="P1743" s="15"/>
      <c r="Q1743" s="15"/>
      <c r="R1743" s="15"/>
      <c r="S1743" s="15"/>
    </row>
    <row r="1744" spans="1:19" s="13" customFormat="1" x14ac:dyDescent="0.25">
      <c r="A1744" s="15"/>
      <c r="B1744" s="12"/>
      <c r="D1744" s="14"/>
      <c r="F1744" s="14"/>
      <c r="H1744" s="14"/>
      <c r="I1744" s="14"/>
      <c r="K1744" s="4"/>
      <c r="L1744" s="15"/>
      <c r="M1744" s="15"/>
      <c r="N1744" s="15"/>
      <c r="O1744" s="15"/>
      <c r="P1744" s="15"/>
      <c r="Q1744" s="15"/>
      <c r="R1744" s="15"/>
      <c r="S1744" s="15"/>
    </row>
    <row r="1745" spans="1:19" s="13" customFormat="1" x14ac:dyDescent="0.25">
      <c r="A1745" s="15"/>
      <c r="B1745" s="12"/>
      <c r="E1745" s="14"/>
      <c r="F1745" s="14"/>
      <c r="H1745" s="14"/>
      <c r="I1745" s="14"/>
      <c r="J1745" s="14"/>
      <c r="K1745" s="4"/>
      <c r="L1745" s="15"/>
      <c r="M1745" s="15"/>
      <c r="N1745" s="15"/>
      <c r="O1745" s="15"/>
      <c r="P1745" s="15"/>
      <c r="Q1745" s="15"/>
      <c r="R1745" s="15"/>
      <c r="S1745" s="15"/>
    </row>
    <row r="1746" spans="1:19" s="13" customFormat="1" x14ac:dyDescent="0.25">
      <c r="A1746" s="15"/>
      <c r="B1746" s="12"/>
      <c r="D1746" s="14"/>
      <c r="F1746" s="14"/>
      <c r="H1746" s="14"/>
      <c r="I1746" s="14"/>
      <c r="K1746" s="4"/>
      <c r="L1746" s="15"/>
      <c r="M1746" s="15"/>
      <c r="N1746" s="15"/>
      <c r="O1746" s="15"/>
      <c r="P1746" s="15"/>
      <c r="Q1746" s="15"/>
      <c r="R1746" s="15"/>
      <c r="S1746" s="15"/>
    </row>
    <row r="1747" spans="1:19" s="13" customFormat="1" x14ac:dyDescent="0.25">
      <c r="A1747" s="15"/>
      <c r="B1747" s="12"/>
      <c r="F1747" s="14"/>
      <c r="H1747" s="14"/>
      <c r="I1747" s="14"/>
      <c r="K1747" s="4"/>
      <c r="L1747" s="15"/>
      <c r="M1747" s="15"/>
      <c r="N1747" s="15"/>
      <c r="O1747" s="15"/>
      <c r="P1747" s="15"/>
      <c r="Q1747" s="15"/>
      <c r="R1747" s="15"/>
      <c r="S1747" s="15"/>
    </row>
    <row r="1748" spans="1:19" s="13" customFormat="1" x14ac:dyDescent="0.25">
      <c r="A1748" s="15"/>
      <c r="B1748" s="12"/>
      <c r="E1748" s="14"/>
      <c r="F1748" s="14"/>
      <c r="H1748" s="14"/>
      <c r="I1748" s="14"/>
      <c r="J1748" s="14"/>
      <c r="K1748" s="4"/>
      <c r="L1748" s="15"/>
      <c r="M1748" s="15"/>
      <c r="N1748" s="15"/>
      <c r="O1748" s="15"/>
      <c r="P1748" s="15"/>
      <c r="Q1748" s="15"/>
      <c r="R1748" s="15"/>
      <c r="S1748" s="15"/>
    </row>
    <row r="1749" spans="1:19" s="13" customFormat="1" x14ac:dyDescent="0.25">
      <c r="A1749" s="15"/>
      <c r="B1749" s="12"/>
      <c r="D1749" s="14"/>
      <c r="E1749" s="14"/>
      <c r="F1749" s="14"/>
      <c r="H1749" s="14"/>
      <c r="I1749" s="14"/>
      <c r="J1749" s="14"/>
      <c r="K1749" s="4"/>
      <c r="L1749" s="15"/>
      <c r="M1749" s="15"/>
      <c r="N1749" s="15"/>
      <c r="O1749" s="15"/>
      <c r="P1749" s="15"/>
      <c r="Q1749" s="15"/>
      <c r="R1749" s="15"/>
      <c r="S1749" s="15"/>
    </row>
    <row r="1753" spans="1:19" s="13" customFormat="1" x14ac:dyDescent="0.25">
      <c r="A1753" s="15"/>
      <c r="B1753" s="12"/>
      <c r="D1753" s="14"/>
      <c r="F1753" s="14"/>
      <c r="H1753" s="14"/>
      <c r="I1753" s="14"/>
      <c r="K1753" s="4"/>
      <c r="L1753" s="15"/>
      <c r="M1753" s="15"/>
      <c r="N1753" s="15"/>
      <c r="O1753" s="15"/>
      <c r="P1753" s="15"/>
      <c r="Q1753" s="15"/>
      <c r="R1753" s="15"/>
      <c r="S1753" s="15"/>
    </row>
    <row r="1754" spans="1:19" s="13" customFormat="1" x14ac:dyDescent="0.25">
      <c r="A1754" s="15"/>
      <c r="B1754" s="12"/>
      <c r="E1754" s="14"/>
      <c r="F1754" s="14"/>
      <c r="H1754" s="14"/>
      <c r="I1754" s="14"/>
      <c r="J1754" s="14"/>
      <c r="K1754" s="4"/>
      <c r="L1754" s="15"/>
      <c r="M1754" s="15"/>
      <c r="N1754" s="15"/>
      <c r="O1754" s="15"/>
      <c r="P1754" s="15"/>
      <c r="Q1754" s="15"/>
      <c r="R1754" s="15"/>
      <c r="S1754" s="15"/>
    </row>
    <row r="1757" spans="1:19" s="13" customFormat="1" x14ac:dyDescent="0.25">
      <c r="A1757" s="15"/>
      <c r="B1757" s="12"/>
      <c r="D1757" s="14"/>
      <c r="F1757" s="14"/>
      <c r="H1757" s="14"/>
      <c r="I1757" s="14"/>
      <c r="K1757" s="4"/>
      <c r="L1757" s="15"/>
      <c r="M1757" s="15"/>
      <c r="N1757" s="15"/>
      <c r="O1757" s="15"/>
      <c r="P1757" s="15"/>
      <c r="Q1757" s="15"/>
      <c r="R1757" s="15"/>
      <c r="S1757" s="15"/>
    </row>
    <row r="1758" spans="1:19" s="13" customFormat="1" x14ac:dyDescent="0.25">
      <c r="A1758" s="15"/>
      <c r="B1758" s="12"/>
      <c r="E1758" s="14"/>
      <c r="F1758" s="14"/>
      <c r="H1758" s="14"/>
      <c r="I1758" s="14"/>
      <c r="J1758" s="14"/>
      <c r="K1758" s="4"/>
      <c r="L1758" s="15"/>
      <c r="M1758" s="15"/>
      <c r="N1758" s="15"/>
      <c r="O1758" s="15"/>
      <c r="P1758" s="15"/>
      <c r="Q1758" s="15"/>
      <c r="R1758" s="15"/>
      <c r="S1758" s="15"/>
    </row>
    <row r="1760" spans="1:19" s="13" customFormat="1" x14ac:dyDescent="0.25">
      <c r="A1760" s="15"/>
      <c r="B1760" s="12"/>
      <c r="D1760" s="14"/>
      <c r="E1760" s="14"/>
      <c r="F1760" s="14"/>
      <c r="H1760" s="14"/>
      <c r="I1760" s="14"/>
      <c r="J1760" s="14"/>
      <c r="K1760" s="4"/>
      <c r="L1760" s="15"/>
      <c r="M1760" s="15"/>
      <c r="N1760" s="15"/>
      <c r="O1760" s="15"/>
      <c r="P1760" s="15"/>
      <c r="Q1760" s="15"/>
      <c r="R1760" s="15"/>
      <c r="S1760" s="15"/>
    </row>
    <row r="1761" spans="1:19" s="13" customFormat="1" x14ac:dyDescent="0.25">
      <c r="A1761" s="15"/>
      <c r="B1761" s="12"/>
      <c r="D1761" s="14"/>
      <c r="E1761" s="14"/>
      <c r="F1761" s="14"/>
      <c r="H1761" s="14"/>
      <c r="I1761" s="14"/>
      <c r="J1761" s="14"/>
      <c r="K1761" s="4"/>
      <c r="L1761" s="15"/>
      <c r="M1761" s="15"/>
      <c r="N1761" s="15"/>
      <c r="O1761" s="15"/>
      <c r="P1761" s="15"/>
      <c r="Q1761" s="15"/>
      <c r="R1761" s="15"/>
      <c r="S1761" s="15"/>
    </row>
    <row r="1763" spans="1:19" s="13" customFormat="1" x14ac:dyDescent="0.25">
      <c r="A1763" s="15"/>
      <c r="B1763" s="12"/>
      <c r="D1763" s="14"/>
      <c r="F1763" s="14"/>
      <c r="H1763" s="14"/>
      <c r="I1763" s="14"/>
      <c r="K1763" s="4"/>
      <c r="L1763" s="15"/>
      <c r="M1763" s="15"/>
      <c r="N1763" s="15"/>
      <c r="O1763" s="15"/>
      <c r="P1763" s="15"/>
      <c r="Q1763" s="15"/>
      <c r="R1763" s="15"/>
      <c r="S1763" s="15"/>
    </row>
    <row r="1764" spans="1:19" s="13" customFormat="1" x14ac:dyDescent="0.25">
      <c r="A1764" s="15"/>
      <c r="B1764" s="12"/>
      <c r="F1764" s="14"/>
      <c r="H1764" s="14"/>
      <c r="I1764" s="14"/>
      <c r="K1764" s="4"/>
      <c r="L1764" s="15"/>
      <c r="M1764" s="15"/>
      <c r="N1764" s="15"/>
      <c r="O1764" s="15"/>
      <c r="P1764" s="15"/>
      <c r="Q1764" s="15"/>
      <c r="R1764" s="15"/>
      <c r="S1764" s="15"/>
    </row>
    <row r="1765" spans="1:19" s="13" customFormat="1" x14ac:dyDescent="0.25">
      <c r="A1765" s="15"/>
      <c r="B1765" s="12"/>
      <c r="E1765" s="14"/>
      <c r="F1765" s="14"/>
      <c r="H1765" s="14"/>
      <c r="I1765" s="14"/>
      <c r="J1765" s="14"/>
      <c r="K1765" s="4"/>
      <c r="L1765" s="15"/>
      <c r="M1765" s="15"/>
      <c r="N1765" s="15"/>
      <c r="O1765" s="15"/>
      <c r="P1765" s="15"/>
      <c r="Q1765" s="15"/>
      <c r="R1765" s="15"/>
      <c r="S1765" s="15"/>
    </row>
    <row r="1766" spans="1:19" s="13" customFormat="1" x14ac:dyDescent="0.25">
      <c r="A1766" s="15"/>
      <c r="B1766" s="12"/>
      <c r="D1766" s="14"/>
      <c r="F1766" s="14"/>
      <c r="H1766" s="14"/>
      <c r="I1766" s="14"/>
      <c r="K1766" s="4"/>
      <c r="L1766" s="15"/>
      <c r="M1766" s="15"/>
      <c r="N1766" s="15"/>
      <c r="O1766" s="15"/>
      <c r="P1766" s="15"/>
      <c r="Q1766" s="15"/>
      <c r="R1766" s="15"/>
      <c r="S1766" s="15"/>
    </row>
    <row r="1767" spans="1:19" s="13" customFormat="1" x14ac:dyDescent="0.25">
      <c r="A1767" s="15"/>
      <c r="B1767" s="12"/>
      <c r="E1767" s="14"/>
      <c r="F1767" s="14"/>
      <c r="H1767" s="14"/>
      <c r="I1767" s="14"/>
      <c r="J1767" s="14"/>
      <c r="K1767" s="4"/>
      <c r="L1767" s="15"/>
      <c r="M1767" s="15"/>
      <c r="N1767" s="15"/>
      <c r="O1767" s="15"/>
      <c r="P1767" s="15"/>
      <c r="Q1767" s="15"/>
      <c r="R1767" s="15"/>
      <c r="S1767" s="15"/>
    </row>
    <row r="1768" spans="1:19" s="13" customFormat="1" x14ac:dyDescent="0.25">
      <c r="A1768" s="15"/>
      <c r="B1768" s="12"/>
      <c r="D1768" s="14"/>
      <c r="F1768" s="14"/>
      <c r="H1768" s="14"/>
      <c r="I1768" s="14"/>
      <c r="K1768" s="4"/>
      <c r="L1768" s="15"/>
      <c r="M1768" s="15"/>
      <c r="N1768" s="15"/>
      <c r="O1768" s="15"/>
      <c r="P1768" s="15"/>
      <c r="Q1768" s="15"/>
      <c r="R1768" s="15"/>
      <c r="S1768" s="15"/>
    </row>
    <row r="1769" spans="1:19" s="13" customFormat="1" x14ac:dyDescent="0.25">
      <c r="A1769" s="15"/>
      <c r="B1769" s="12"/>
      <c r="E1769" s="14"/>
      <c r="F1769" s="14"/>
      <c r="H1769" s="14"/>
      <c r="I1769" s="14"/>
      <c r="J1769" s="14"/>
      <c r="K1769" s="4"/>
      <c r="L1769" s="15"/>
      <c r="M1769" s="15"/>
      <c r="N1769" s="15"/>
      <c r="O1769" s="15"/>
      <c r="P1769" s="15"/>
      <c r="Q1769" s="15"/>
      <c r="R1769" s="15"/>
      <c r="S1769" s="15"/>
    </row>
    <row r="1770" spans="1:19" s="13" customFormat="1" x14ac:dyDescent="0.25">
      <c r="A1770" s="15"/>
      <c r="B1770" s="12"/>
      <c r="D1770" s="14"/>
      <c r="F1770" s="14"/>
      <c r="H1770" s="14"/>
      <c r="I1770" s="14"/>
      <c r="K1770" s="4"/>
      <c r="L1770" s="15"/>
      <c r="M1770" s="15"/>
      <c r="N1770" s="15"/>
      <c r="O1770" s="15"/>
      <c r="P1770" s="15"/>
      <c r="Q1770" s="15"/>
      <c r="R1770" s="15"/>
      <c r="S1770" s="15"/>
    </row>
    <row r="1771" spans="1:19" s="13" customFormat="1" x14ac:dyDescent="0.25">
      <c r="A1771" s="15"/>
      <c r="B1771" s="12"/>
      <c r="F1771" s="14"/>
      <c r="H1771" s="14"/>
      <c r="I1771" s="14"/>
      <c r="K1771" s="4"/>
      <c r="L1771" s="15"/>
      <c r="M1771" s="15"/>
      <c r="N1771" s="15"/>
      <c r="O1771" s="15"/>
      <c r="P1771" s="15"/>
      <c r="Q1771" s="15"/>
      <c r="R1771" s="15"/>
      <c r="S1771" s="15"/>
    </row>
    <row r="1772" spans="1:19" s="13" customFormat="1" x14ac:dyDescent="0.25">
      <c r="A1772" s="15"/>
      <c r="B1772" s="12"/>
      <c r="E1772" s="14"/>
      <c r="F1772" s="14"/>
      <c r="H1772" s="14"/>
      <c r="I1772" s="14"/>
      <c r="J1772" s="14"/>
      <c r="K1772" s="4"/>
      <c r="L1772" s="15"/>
      <c r="M1772" s="15"/>
      <c r="N1772" s="15"/>
      <c r="O1772" s="15"/>
      <c r="P1772" s="15"/>
      <c r="Q1772" s="15"/>
      <c r="R1772" s="15"/>
      <c r="S1772" s="15"/>
    </row>
    <row r="1773" spans="1:19" s="13" customFormat="1" x14ac:dyDescent="0.25">
      <c r="A1773" s="15"/>
      <c r="B1773" s="12"/>
      <c r="D1773" s="14"/>
      <c r="F1773" s="14"/>
      <c r="H1773" s="14"/>
      <c r="I1773" s="14"/>
      <c r="K1773" s="4"/>
      <c r="L1773" s="15"/>
      <c r="M1773" s="15"/>
      <c r="N1773" s="15"/>
      <c r="O1773" s="15"/>
      <c r="P1773" s="15"/>
      <c r="Q1773" s="15"/>
      <c r="R1773" s="15"/>
      <c r="S1773" s="15"/>
    </row>
    <row r="1774" spans="1:19" s="13" customFormat="1" x14ac:dyDescent="0.25">
      <c r="A1774" s="15"/>
      <c r="B1774" s="12"/>
      <c r="F1774" s="14"/>
      <c r="H1774" s="14"/>
      <c r="I1774" s="14"/>
      <c r="K1774" s="4"/>
      <c r="L1774" s="15"/>
      <c r="M1774" s="15"/>
      <c r="N1774" s="15"/>
      <c r="O1774" s="15"/>
      <c r="P1774" s="15"/>
      <c r="Q1774" s="15"/>
      <c r="R1774" s="15"/>
      <c r="S1774" s="15"/>
    </row>
    <row r="1775" spans="1:19" s="13" customFormat="1" x14ac:dyDescent="0.25">
      <c r="A1775" s="15"/>
      <c r="B1775" s="12"/>
      <c r="F1775" s="14"/>
      <c r="H1775" s="14"/>
      <c r="I1775" s="14"/>
      <c r="K1775" s="4"/>
      <c r="L1775" s="15"/>
      <c r="M1775" s="15"/>
      <c r="N1775" s="15"/>
      <c r="O1775" s="15"/>
      <c r="P1775" s="15"/>
      <c r="Q1775" s="15"/>
      <c r="R1775" s="15"/>
      <c r="S1775" s="15"/>
    </row>
    <row r="1776" spans="1:19" s="13" customFormat="1" x14ac:dyDescent="0.25">
      <c r="A1776" s="15"/>
      <c r="B1776" s="12"/>
      <c r="F1776" s="14"/>
      <c r="H1776" s="14"/>
      <c r="I1776" s="14"/>
      <c r="K1776" s="4"/>
      <c r="L1776" s="15"/>
      <c r="M1776" s="15"/>
      <c r="N1776" s="15"/>
      <c r="O1776" s="15"/>
      <c r="P1776" s="15"/>
      <c r="Q1776" s="15"/>
      <c r="R1776" s="15"/>
      <c r="S1776" s="15"/>
    </row>
    <row r="1777" spans="1:19" s="13" customFormat="1" x14ac:dyDescent="0.25">
      <c r="A1777" s="15"/>
      <c r="B1777" s="12"/>
      <c r="E1777" s="14"/>
      <c r="F1777" s="14"/>
      <c r="H1777" s="14"/>
      <c r="I1777" s="14"/>
      <c r="J1777" s="14"/>
      <c r="K1777" s="4"/>
      <c r="L1777" s="15"/>
      <c r="M1777" s="15"/>
      <c r="N1777" s="15"/>
      <c r="O1777" s="15"/>
      <c r="P1777" s="15"/>
      <c r="Q1777" s="15"/>
      <c r="R1777" s="15"/>
      <c r="S1777" s="15"/>
    </row>
    <row r="1779" spans="1:19" s="13" customFormat="1" x14ac:dyDescent="0.25">
      <c r="A1779" s="15"/>
      <c r="B1779" s="12"/>
      <c r="D1779" s="14"/>
      <c r="E1779" s="14"/>
      <c r="F1779" s="14"/>
      <c r="H1779" s="14"/>
      <c r="I1779" s="14"/>
      <c r="J1779" s="14"/>
      <c r="K1779" s="4"/>
      <c r="L1779" s="15"/>
      <c r="M1779" s="15"/>
      <c r="N1779" s="15"/>
      <c r="O1779" s="15"/>
      <c r="P1779" s="15"/>
      <c r="Q1779" s="15"/>
      <c r="R1779" s="15"/>
      <c r="S1779" s="15"/>
    </row>
    <row r="1781" spans="1:19" s="13" customFormat="1" x14ac:dyDescent="0.25">
      <c r="A1781" s="15"/>
      <c r="B1781" s="12"/>
      <c r="D1781" s="14"/>
      <c r="F1781" s="14"/>
      <c r="H1781" s="14"/>
      <c r="I1781" s="14"/>
      <c r="K1781" s="4"/>
      <c r="L1781" s="15"/>
      <c r="M1781" s="15"/>
      <c r="N1781" s="15"/>
      <c r="O1781" s="15"/>
      <c r="P1781" s="15"/>
      <c r="Q1781" s="15"/>
      <c r="R1781" s="15"/>
      <c r="S1781" s="15"/>
    </row>
    <row r="1782" spans="1:19" s="13" customFormat="1" x14ac:dyDescent="0.25">
      <c r="A1782" s="15"/>
      <c r="B1782" s="12"/>
      <c r="E1782" s="14"/>
      <c r="F1782" s="14"/>
      <c r="H1782" s="14"/>
      <c r="I1782" s="14"/>
      <c r="J1782" s="14"/>
      <c r="K1782" s="4"/>
      <c r="L1782" s="15"/>
      <c r="M1782" s="15"/>
      <c r="N1782" s="15"/>
      <c r="O1782" s="15"/>
      <c r="P1782" s="15"/>
      <c r="Q1782" s="15"/>
      <c r="R1782" s="15"/>
      <c r="S1782" s="15"/>
    </row>
    <row r="1783" spans="1:19" s="13" customFormat="1" x14ac:dyDescent="0.25">
      <c r="A1783" s="15"/>
      <c r="B1783" s="12"/>
      <c r="D1783" s="14"/>
      <c r="E1783" s="14"/>
      <c r="F1783" s="14"/>
      <c r="H1783" s="14"/>
      <c r="I1783" s="14"/>
      <c r="J1783" s="14"/>
      <c r="K1783" s="4"/>
      <c r="L1783" s="15"/>
      <c r="M1783" s="15"/>
      <c r="N1783" s="15"/>
      <c r="O1783" s="15"/>
      <c r="P1783" s="15"/>
      <c r="Q1783" s="15"/>
      <c r="R1783" s="15"/>
      <c r="S1783" s="15"/>
    </row>
    <row r="1784" spans="1:19" s="13" customFormat="1" x14ac:dyDescent="0.25">
      <c r="A1784" s="15"/>
      <c r="B1784" s="12"/>
      <c r="D1784" s="14"/>
      <c r="F1784" s="14"/>
      <c r="H1784" s="14"/>
      <c r="I1784" s="14"/>
      <c r="K1784" s="4"/>
      <c r="L1784" s="15"/>
      <c r="M1784" s="15"/>
      <c r="N1784" s="15"/>
      <c r="O1784" s="15"/>
      <c r="P1784" s="15"/>
      <c r="Q1784" s="15"/>
      <c r="R1784" s="15"/>
      <c r="S1784" s="15"/>
    </row>
    <row r="1785" spans="1:19" s="13" customFormat="1" x14ac:dyDescent="0.25">
      <c r="A1785" s="15"/>
      <c r="B1785" s="12"/>
      <c r="E1785" s="14"/>
      <c r="F1785" s="14"/>
      <c r="H1785" s="14"/>
      <c r="I1785" s="14"/>
      <c r="J1785" s="14"/>
      <c r="K1785" s="4"/>
      <c r="L1785" s="15"/>
      <c r="M1785" s="15"/>
      <c r="N1785" s="15"/>
      <c r="O1785" s="15"/>
      <c r="P1785" s="15"/>
      <c r="Q1785" s="15"/>
      <c r="R1785" s="15"/>
      <c r="S1785" s="15"/>
    </row>
    <row r="1786" spans="1:19" s="13" customFormat="1" x14ac:dyDescent="0.25">
      <c r="A1786" s="15"/>
      <c r="B1786" s="12"/>
      <c r="D1786" s="14"/>
      <c r="F1786" s="14"/>
      <c r="H1786" s="14"/>
      <c r="I1786" s="14"/>
      <c r="K1786" s="4"/>
      <c r="L1786" s="15"/>
      <c r="M1786" s="15"/>
      <c r="N1786" s="15"/>
      <c r="O1786" s="15"/>
      <c r="P1786" s="15"/>
      <c r="Q1786" s="15"/>
      <c r="R1786" s="15"/>
      <c r="S1786" s="15"/>
    </row>
    <row r="1787" spans="1:19" s="13" customFormat="1" x14ac:dyDescent="0.25">
      <c r="A1787" s="15"/>
      <c r="B1787" s="12"/>
      <c r="E1787" s="14"/>
      <c r="F1787" s="14"/>
      <c r="H1787" s="14"/>
      <c r="I1787" s="14"/>
      <c r="J1787" s="14"/>
      <c r="K1787" s="4"/>
      <c r="L1787" s="15"/>
      <c r="M1787" s="15"/>
      <c r="N1787" s="15"/>
      <c r="O1787" s="15"/>
      <c r="P1787" s="15"/>
      <c r="Q1787" s="15"/>
      <c r="R1787" s="15"/>
      <c r="S1787" s="15"/>
    </row>
    <row r="1789" spans="1:19" s="13" customFormat="1" x14ac:dyDescent="0.25">
      <c r="A1789" s="15"/>
      <c r="B1789" s="12"/>
      <c r="D1789" s="14"/>
      <c r="E1789" s="14"/>
      <c r="F1789" s="14"/>
      <c r="H1789" s="14"/>
      <c r="I1789" s="14"/>
      <c r="J1789" s="14"/>
      <c r="K1789" s="4"/>
      <c r="L1789" s="15"/>
      <c r="M1789" s="15"/>
      <c r="N1789" s="15"/>
      <c r="O1789" s="15"/>
      <c r="P1789" s="15"/>
      <c r="Q1789" s="15"/>
      <c r="R1789" s="15"/>
      <c r="S1789" s="15"/>
    </row>
    <row r="1790" spans="1:19" s="13" customFormat="1" x14ac:dyDescent="0.25">
      <c r="A1790" s="15"/>
      <c r="B1790" s="12"/>
      <c r="D1790" s="14"/>
      <c r="F1790" s="14"/>
      <c r="H1790" s="14"/>
      <c r="I1790" s="14"/>
      <c r="K1790" s="4"/>
      <c r="L1790" s="15"/>
      <c r="M1790" s="15"/>
      <c r="N1790" s="15"/>
      <c r="O1790" s="15"/>
      <c r="P1790" s="15"/>
      <c r="Q1790" s="15"/>
      <c r="R1790" s="15"/>
      <c r="S1790" s="15"/>
    </row>
    <row r="1791" spans="1:19" s="13" customFormat="1" x14ac:dyDescent="0.25">
      <c r="A1791" s="15"/>
      <c r="B1791" s="12"/>
      <c r="E1791" s="14"/>
      <c r="F1791" s="14"/>
      <c r="H1791" s="14"/>
      <c r="I1791" s="14"/>
      <c r="J1791" s="14"/>
      <c r="K1791" s="4"/>
      <c r="L1791" s="15"/>
      <c r="M1791" s="15"/>
      <c r="N1791" s="15"/>
      <c r="O1791" s="15"/>
      <c r="P1791" s="15"/>
      <c r="Q1791" s="15"/>
      <c r="R1791" s="15"/>
      <c r="S1791" s="15"/>
    </row>
    <row r="1792" spans="1:19" s="13" customFormat="1" x14ac:dyDescent="0.25">
      <c r="A1792" s="15"/>
      <c r="B1792" s="12"/>
      <c r="D1792" s="14"/>
      <c r="E1792" s="14"/>
      <c r="F1792" s="14"/>
      <c r="H1792" s="14"/>
      <c r="I1792" s="14"/>
      <c r="J1792" s="14"/>
      <c r="K1792" s="4"/>
      <c r="L1792" s="15"/>
      <c r="M1792" s="15"/>
      <c r="N1792" s="15"/>
      <c r="O1792" s="15"/>
      <c r="P1792" s="15"/>
      <c r="Q1792" s="15"/>
      <c r="R1792" s="15"/>
      <c r="S1792" s="15"/>
    </row>
    <row r="1794" spans="1:19" s="13" customFormat="1" x14ac:dyDescent="0.25">
      <c r="A1794" s="15"/>
      <c r="B1794" s="12"/>
      <c r="D1794" s="14"/>
      <c r="F1794" s="14"/>
      <c r="H1794" s="14"/>
      <c r="I1794" s="14"/>
      <c r="K1794" s="4"/>
      <c r="L1794" s="15"/>
      <c r="M1794" s="15"/>
      <c r="N1794" s="15"/>
      <c r="O1794" s="15"/>
      <c r="P1794" s="15"/>
      <c r="Q1794" s="15"/>
      <c r="R1794" s="15"/>
      <c r="S1794" s="15"/>
    </row>
    <row r="1795" spans="1:19" s="13" customFormat="1" x14ac:dyDescent="0.25">
      <c r="A1795" s="15"/>
      <c r="B1795" s="12"/>
      <c r="E1795" s="14"/>
      <c r="F1795" s="14"/>
      <c r="H1795" s="14"/>
      <c r="I1795" s="14"/>
      <c r="J1795" s="14"/>
      <c r="K1795" s="4"/>
      <c r="L1795" s="15"/>
      <c r="M1795" s="15"/>
      <c r="N1795" s="15"/>
      <c r="O1795" s="15"/>
      <c r="P1795" s="15"/>
      <c r="Q1795" s="15"/>
      <c r="R1795" s="15"/>
      <c r="S1795" s="15"/>
    </row>
    <row r="1796" spans="1:19" s="13" customFormat="1" x14ac:dyDescent="0.25">
      <c r="A1796" s="15"/>
      <c r="B1796" s="12"/>
      <c r="D1796" s="14"/>
      <c r="E1796" s="14"/>
      <c r="F1796" s="14"/>
      <c r="H1796" s="14"/>
      <c r="I1796" s="14"/>
      <c r="J1796" s="14"/>
      <c r="K1796" s="4"/>
      <c r="L1796" s="15"/>
      <c r="M1796" s="15"/>
      <c r="N1796" s="15"/>
      <c r="O1796" s="15"/>
      <c r="P1796" s="15"/>
      <c r="Q1796" s="15"/>
      <c r="R1796" s="15"/>
      <c r="S1796" s="15"/>
    </row>
    <row r="1797" spans="1:19" s="13" customFormat="1" x14ac:dyDescent="0.25">
      <c r="A1797" s="15"/>
      <c r="B1797" s="12"/>
      <c r="D1797" s="14"/>
      <c r="E1797" s="14"/>
      <c r="F1797" s="14"/>
      <c r="H1797" s="14"/>
      <c r="I1797" s="14"/>
      <c r="J1797" s="14"/>
      <c r="K1797" s="4"/>
      <c r="L1797" s="15"/>
      <c r="M1797" s="15"/>
      <c r="N1797" s="15"/>
      <c r="O1797" s="15"/>
      <c r="P1797" s="15"/>
      <c r="Q1797" s="15"/>
      <c r="R1797" s="15"/>
      <c r="S1797" s="15"/>
    </row>
    <row r="1799" spans="1:19" s="13" customFormat="1" x14ac:dyDescent="0.25">
      <c r="A1799" s="15"/>
      <c r="B1799" s="12"/>
      <c r="D1799" s="14"/>
      <c r="E1799" s="14"/>
      <c r="F1799" s="14"/>
      <c r="H1799" s="14"/>
      <c r="I1799" s="14"/>
      <c r="J1799" s="14"/>
      <c r="K1799" s="4"/>
      <c r="L1799" s="15"/>
      <c r="M1799" s="15"/>
      <c r="N1799" s="15"/>
      <c r="O1799" s="15"/>
      <c r="P1799" s="15"/>
      <c r="Q1799" s="15"/>
      <c r="R1799" s="15"/>
      <c r="S1799" s="15"/>
    </row>
    <row r="1800" spans="1:19" s="13" customFormat="1" x14ac:dyDescent="0.25">
      <c r="A1800" s="15"/>
      <c r="B1800" s="12"/>
      <c r="D1800" s="14"/>
      <c r="F1800" s="14"/>
      <c r="H1800" s="14"/>
      <c r="I1800" s="14"/>
      <c r="K1800" s="4"/>
      <c r="L1800" s="15"/>
      <c r="M1800" s="15"/>
      <c r="N1800" s="15"/>
      <c r="O1800" s="15"/>
      <c r="P1800" s="15"/>
      <c r="Q1800" s="15"/>
      <c r="R1800" s="15"/>
      <c r="S1800" s="15"/>
    </row>
    <row r="1801" spans="1:19" s="13" customFormat="1" x14ac:dyDescent="0.25">
      <c r="A1801" s="15"/>
      <c r="B1801" s="12"/>
      <c r="F1801" s="14"/>
      <c r="H1801" s="14"/>
      <c r="I1801" s="14"/>
      <c r="K1801" s="4"/>
      <c r="L1801" s="15"/>
      <c r="M1801" s="15"/>
      <c r="N1801" s="15"/>
      <c r="O1801" s="15"/>
      <c r="P1801" s="15"/>
      <c r="Q1801" s="15"/>
      <c r="R1801" s="15"/>
      <c r="S1801" s="15"/>
    </row>
    <row r="1802" spans="1:19" s="13" customFormat="1" x14ac:dyDescent="0.25">
      <c r="A1802" s="15"/>
      <c r="B1802" s="12"/>
      <c r="F1802" s="14"/>
      <c r="H1802" s="14"/>
      <c r="I1802" s="14"/>
      <c r="K1802" s="4"/>
      <c r="L1802" s="15"/>
      <c r="M1802" s="15"/>
      <c r="N1802" s="15"/>
      <c r="O1802" s="15"/>
      <c r="P1802" s="15"/>
      <c r="Q1802" s="15"/>
      <c r="R1802" s="15"/>
      <c r="S1802" s="15"/>
    </row>
    <row r="1803" spans="1:19" s="13" customFormat="1" x14ac:dyDescent="0.25">
      <c r="A1803" s="15"/>
      <c r="B1803" s="12"/>
      <c r="E1803" s="14"/>
      <c r="F1803" s="14"/>
      <c r="H1803" s="14"/>
      <c r="I1803" s="14"/>
      <c r="J1803" s="14"/>
      <c r="K1803" s="4"/>
      <c r="L1803" s="15"/>
      <c r="M1803" s="15"/>
      <c r="N1803" s="15"/>
      <c r="O1803" s="15"/>
      <c r="P1803" s="15"/>
      <c r="Q1803" s="15"/>
      <c r="R1803" s="15"/>
      <c r="S1803" s="15"/>
    </row>
    <row r="1807" spans="1:19" s="13" customFormat="1" x14ac:dyDescent="0.25">
      <c r="A1807" s="15"/>
      <c r="B1807" s="12"/>
      <c r="D1807" s="14"/>
      <c r="E1807" s="14"/>
      <c r="F1807" s="14"/>
      <c r="H1807" s="14"/>
      <c r="I1807" s="14"/>
      <c r="J1807" s="14"/>
      <c r="K1807" s="4"/>
      <c r="L1807" s="15"/>
      <c r="M1807" s="15"/>
      <c r="N1807" s="15"/>
      <c r="O1807" s="15"/>
      <c r="P1807" s="15"/>
      <c r="Q1807" s="15"/>
      <c r="R1807" s="15"/>
      <c r="S1807" s="15"/>
    </row>
    <row r="1809" spans="1:19" s="13" customFormat="1" x14ac:dyDescent="0.25">
      <c r="A1809" s="15"/>
      <c r="B1809" s="12"/>
      <c r="D1809" s="14"/>
      <c r="F1809" s="14"/>
      <c r="H1809" s="14"/>
      <c r="I1809" s="14"/>
      <c r="K1809" s="4"/>
      <c r="L1809" s="15"/>
      <c r="M1809" s="15"/>
      <c r="N1809" s="15"/>
      <c r="O1809" s="15"/>
      <c r="P1809" s="15"/>
      <c r="Q1809" s="15"/>
      <c r="R1809" s="15"/>
      <c r="S1809" s="15"/>
    </row>
    <row r="1810" spans="1:19" s="13" customFormat="1" x14ac:dyDescent="0.25">
      <c r="A1810" s="15"/>
      <c r="B1810" s="12"/>
      <c r="F1810" s="14"/>
      <c r="H1810" s="14"/>
      <c r="I1810" s="14"/>
      <c r="K1810" s="4"/>
      <c r="L1810" s="15"/>
      <c r="M1810" s="15"/>
      <c r="N1810" s="15"/>
      <c r="O1810" s="15"/>
      <c r="P1810" s="15"/>
      <c r="Q1810" s="15"/>
      <c r="R1810" s="15"/>
      <c r="S1810" s="15"/>
    </row>
    <row r="1811" spans="1:19" s="13" customFormat="1" x14ac:dyDescent="0.25">
      <c r="A1811" s="15"/>
      <c r="B1811" s="12"/>
      <c r="F1811" s="14"/>
      <c r="H1811" s="14"/>
      <c r="I1811" s="14"/>
      <c r="K1811" s="4"/>
      <c r="L1811" s="15"/>
      <c r="M1811" s="15"/>
      <c r="N1811" s="15"/>
      <c r="O1811" s="15"/>
      <c r="P1811" s="15"/>
      <c r="Q1811" s="15"/>
      <c r="R1811" s="15"/>
      <c r="S1811" s="15"/>
    </row>
    <row r="1812" spans="1:19" s="13" customFormat="1" x14ac:dyDescent="0.25">
      <c r="A1812" s="15"/>
      <c r="B1812" s="12"/>
      <c r="E1812" s="14"/>
      <c r="F1812" s="14"/>
      <c r="H1812" s="14"/>
      <c r="I1812" s="14"/>
      <c r="J1812" s="14"/>
      <c r="K1812" s="4"/>
      <c r="L1812" s="15"/>
      <c r="M1812" s="15"/>
      <c r="N1812" s="15"/>
      <c r="O1812" s="15"/>
      <c r="P1812" s="15"/>
      <c r="Q1812" s="15"/>
      <c r="R1812" s="15"/>
      <c r="S1812" s="15"/>
    </row>
    <row r="1815" spans="1:19" s="13" customFormat="1" x14ac:dyDescent="0.25">
      <c r="A1815" s="15"/>
      <c r="B1815" s="12"/>
      <c r="D1815" s="14"/>
      <c r="F1815" s="14"/>
      <c r="H1815" s="14"/>
      <c r="I1815" s="14"/>
      <c r="K1815" s="4"/>
      <c r="L1815" s="15"/>
      <c r="M1815" s="15"/>
      <c r="N1815" s="15"/>
      <c r="O1815" s="15"/>
      <c r="P1815" s="15"/>
      <c r="Q1815" s="15"/>
      <c r="R1815" s="15"/>
      <c r="S1815" s="15"/>
    </row>
    <row r="1816" spans="1:19" s="13" customFormat="1" x14ac:dyDescent="0.25">
      <c r="A1816" s="15"/>
      <c r="B1816" s="12"/>
      <c r="F1816" s="14"/>
      <c r="H1816" s="14"/>
      <c r="I1816" s="14"/>
      <c r="K1816" s="4"/>
      <c r="L1816" s="15"/>
      <c r="M1816" s="15"/>
      <c r="N1816" s="15"/>
      <c r="O1816" s="15"/>
      <c r="P1816" s="15"/>
      <c r="Q1816" s="15"/>
      <c r="R1816" s="15"/>
      <c r="S1816" s="15"/>
    </row>
    <row r="1817" spans="1:19" s="13" customFormat="1" x14ac:dyDescent="0.25">
      <c r="A1817" s="15"/>
      <c r="B1817" s="12"/>
      <c r="E1817" s="14"/>
      <c r="F1817" s="14"/>
      <c r="H1817" s="14"/>
      <c r="I1817" s="14"/>
      <c r="J1817" s="14"/>
      <c r="K1817" s="4"/>
      <c r="L1817" s="15"/>
      <c r="M1817" s="15"/>
      <c r="N1817" s="15"/>
      <c r="O1817" s="15"/>
      <c r="P1817" s="15"/>
      <c r="Q1817" s="15"/>
      <c r="R1817" s="15"/>
      <c r="S1817" s="15"/>
    </row>
    <row r="1820" spans="1:19" s="13" customFormat="1" x14ac:dyDescent="0.25">
      <c r="A1820" s="15"/>
      <c r="B1820" s="12"/>
      <c r="D1820" s="14"/>
      <c r="E1820" s="14"/>
      <c r="F1820" s="14"/>
      <c r="H1820" s="14"/>
      <c r="I1820" s="14"/>
      <c r="J1820" s="14"/>
      <c r="K1820" s="4"/>
      <c r="L1820" s="15"/>
      <c r="M1820" s="15"/>
      <c r="N1820" s="15"/>
      <c r="O1820" s="15"/>
      <c r="P1820" s="15"/>
      <c r="Q1820" s="15"/>
      <c r="R1820" s="15"/>
      <c r="S1820" s="15"/>
    </row>
    <row r="1821" spans="1:19" s="13" customFormat="1" x14ac:dyDescent="0.25">
      <c r="A1821" s="15"/>
      <c r="B1821" s="12"/>
      <c r="D1821" s="14"/>
      <c r="F1821" s="14"/>
      <c r="H1821" s="14"/>
      <c r="I1821" s="14"/>
      <c r="K1821" s="4"/>
      <c r="L1821" s="15"/>
      <c r="M1821" s="15"/>
      <c r="N1821" s="15"/>
      <c r="O1821" s="15"/>
      <c r="P1821" s="15"/>
      <c r="Q1821" s="15"/>
      <c r="R1821" s="15"/>
      <c r="S1821" s="15"/>
    </row>
    <row r="1822" spans="1:19" s="13" customFormat="1" x14ac:dyDescent="0.25">
      <c r="A1822" s="15"/>
      <c r="B1822" s="12"/>
      <c r="E1822" s="14"/>
      <c r="F1822" s="14"/>
      <c r="H1822" s="14"/>
      <c r="I1822" s="14"/>
      <c r="J1822" s="14"/>
      <c r="K1822" s="4"/>
      <c r="L1822" s="15"/>
      <c r="M1822" s="15"/>
      <c r="N1822" s="15"/>
      <c r="O1822" s="15"/>
      <c r="P1822" s="15"/>
      <c r="Q1822" s="15"/>
      <c r="R1822" s="15"/>
      <c r="S1822" s="15"/>
    </row>
    <row r="1826" spans="1:19" s="13" customFormat="1" x14ac:dyDescent="0.25">
      <c r="A1826" s="15"/>
      <c r="B1826" s="12"/>
      <c r="D1826" s="14"/>
      <c r="E1826" s="14"/>
      <c r="F1826" s="14"/>
      <c r="H1826" s="14"/>
      <c r="I1826" s="14"/>
      <c r="J1826" s="14"/>
      <c r="K1826" s="4"/>
      <c r="L1826" s="15"/>
      <c r="M1826" s="15"/>
      <c r="N1826" s="15"/>
      <c r="O1826" s="15"/>
      <c r="P1826" s="15"/>
      <c r="Q1826" s="15"/>
      <c r="R1826" s="15"/>
      <c r="S1826" s="15"/>
    </row>
    <row r="1827" spans="1:19" s="13" customFormat="1" x14ac:dyDescent="0.25">
      <c r="A1827" s="15"/>
      <c r="B1827" s="12"/>
      <c r="D1827" s="14"/>
      <c r="E1827" s="14"/>
      <c r="F1827" s="14"/>
      <c r="H1827" s="14"/>
      <c r="I1827" s="14"/>
      <c r="J1827" s="14"/>
      <c r="K1827" s="4"/>
      <c r="L1827" s="15"/>
      <c r="M1827" s="15"/>
      <c r="N1827" s="15"/>
      <c r="O1827" s="15"/>
      <c r="P1827" s="15"/>
      <c r="Q1827" s="15"/>
      <c r="R1827" s="15"/>
      <c r="S1827" s="15"/>
    </row>
    <row r="1828" spans="1:19" s="13" customFormat="1" x14ac:dyDescent="0.25">
      <c r="A1828" s="15"/>
      <c r="B1828" s="12"/>
      <c r="D1828" s="14"/>
      <c r="E1828" s="14"/>
      <c r="F1828" s="14"/>
      <c r="H1828" s="14"/>
      <c r="I1828" s="14"/>
      <c r="J1828" s="14"/>
      <c r="K1828" s="4"/>
      <c r="L1828" s="15"/>
      <c r="M1828" s="15"/>
      <c r="N1828" s="15"/>
      <c r="O1828" s="15"/>
      <c r="P1828" s="15"/>
      <c r="Q1828" s="15"/>
      <c r="R1828" s="15"/>
      <c r="S1828" s="15"/>
    </row>
    <row r="1830" spans="1:19" s="13" customFormat="1" x14ac:dyDescent="0.25">
      <c r="A1830" s="15"/>
      <c r="B1830" s="12"/>
      <c r="D1830" s="14"/>
      <c r="F1830" s="14"/>
      <c r="H1830" s="14"/>
      <c r="I1830" s="14"/>
      <c r="K1830" s="4"/>
      <c r="L1830" s="15"/>
      <c r="M1830" s="15"/>
      <c r="N1830" s="15"/>
      <c r="O1830" s="15"/>
      <c r="P1830" s="15"/>
      <c r="Q1830" s="15"/>
      <c r="R1830" s="15"/>
      <c r="S1830" s="15"/>
    </row>
    <row r="1831" spans="1:19" s="13" customFormat="1" x14ac:dyDescent="0.25">
      <c r="A1831" s="15"/>
      <c r="B1831" s="12"/>
      <c r="E1831" s="14"/>
      <c r="F1831" s="14"/>
      <c r="H1831" s="14"/>
      <c r="I1831" s="14"/>
      <c r="J1831" s="14"/>
      <c r="K1831" s="4"/>
      <c r="L1831" s="15"/>
      <c r="M1831" s="15"/>
      <c r="N1831" s="15"/>
      <c r="O1831" s="15"/>
      <c r="P1831" s="15"/>
      <c r="Q1831" s="15"/>
      <c r="R1831" s="15"/>
      <c r="S1831" s="15"/>
    </row>
    <row r="1834" spans="1:19" s="13" customFormat="1" x14ac:dyDescent="0.25">
      <c r="A1834" s="15"/>
      <c r="B1834" s="12"/>
      <c r="D1834" s="14"/>
      <c r="F1834" s="14"/>
      <c r="H1834" s="14"/>
      <c r="I1834" s="14"/>
      <c r="K1834" s="4"/>
      <c r="L1834" s="15"/>
      <c r="M1834" s="15"/>
      <c r="N1834" s="15"/>
      <c r="O1834" s="15"/>
      <c r="P1834" s="15"/>
      <c r="Q1834" s="15"/>
      <c r="R1834" s="15"/>
      <c r="S1834" s="15"/>
    </row>
    <row r="1835" spans="1:19" s="13" customFormat="1" x14ac:dyDescent="0.25">
      <c r="A1835" s="15"/>
      <c r="B1835" s="12"/>
      <c r="E1835" s="14"/>
      <c r="F1835" s="14"/>
      <c r="H1835" s="14"/>
      <c r="I1835" s="14"/>
      <c r="J1835" s="14"/>
      <c r="K1835" s="4"/>
      <c r="L1835" s="15"/>
      <c r="M1835" s="15"/>
      <c r="N1835" s="15"/>
      <c r="O1835" s="15"/>
      <c r="P1835" s="15"/>
      <c r="Q1835" s="15"/>
      <c r="R1835" s="15"/>
      <c r="S1835" s="15"/>
    </row>
    <row r="1836" spans="1:19" s="13" customFormat="1" x14ac:dyDescent="0.25">
      <c r="A1836" s="15"/>
      <c r="B1836" s="12"/>
      <c r="D1836" s="14"/>
      <c r="F1836" s="14"/>
      <c r="H1836" s="14"/>
      <c r="I1836" s="14"/>
      <c r="K1836" s="4"/>
      <c r="L1836" s="15"/>
      <c r="M1836" s="15"/>
      <c r="N1836" s="15"/>
      <c r="O1836" s="15"/>
      <c r="P1836" s="15"/>
      <c r="Q1836" s="15"/>
      <c r="R1836" s="15"/>
      <c r="S1836" s="15"/>
    </row>
    <row r="1837" spans="1:19" s="13" customFormat="1" x14ac:dyDescent="0.25">
      <c r="A1837" s="15"/>
      <c r="B1837" s="12"/>
      <c r="F1837" s="14"/>
      <c r="H1837" s="14"/>
      <c r="I1837" s="14"/>
      <c r="K1837" s="4"/>
      <c r="L1837" s="15"/>
      <c r="M1837" s="15"/>
      <c r="N1837" s="15"/>
      <c r="O1837" s="15"/>
      <c r="P1837" s="15"/>
      <c r="Q1837" s="15"/>
      <c r="R1837" s="15"/>
      <c r="S1837" s="15"/>
    </row>
    <row r="1838" spans="1:19" s="13" customFormat="1" x14ac:dyDescent="0.25">
      <c r="A1838" s="15"/>
      <c r="B1838" s="12"/>
      <c r="E1838" s="14"/>
      <c r="F1838" s="14"/>
      <c r="H1838" s="14"/>
      <c r="I1838" s="14"/>
      <c r="J1838" s="14"/>
      <c r="K1838" s="4"/>
      <c r="L1838" s="15"/>
      <c r="M1838" s="15"/>
      <c r="N1838" s="15"/>
      <c r="O1838" s="15"/>
      <c r="P1838" s="15"/>
      <c r="Q1838" s="15"/>
      <c r="R1838" s="15"/>
      <c r="S1838" s="15"/>
    </row>
    <row r="1841" spans="1:19" s="13" customFormat="1" x14ac:dyDescent="0.25">
      <c r="A1841" s="15"/>
      <c r="B1841" s="12"/>
      <c r="D1841" s="14"/>
      <c r="E1841" s="14"/>
      <c r="F1841" s="14"/>
      <c r="H1841" s="14"/>
      <c r="I1841" s="14"/>
      <c r="J1841" s="14"/>
      <c r="K1841" s="4"/>
      <c r="L1841" s="15"/>
      <c r="M1841" s="15"/>
      <c r="N1841" s="15"/>
      <c r="O1841" s="15"/>
      <c r="P1841" s="15"/>
      <c r="Q1841" s="15"/>
      <c r="R1841" s="15"/>
      <c r="S1841" s="15"/>
    </row>
    <row r="1842" spans="1:19" s="13" customFormat="1" x14ac:dyDescent="0.25">
      <c r="A1842" s="15"/>
      <c r="B1842" s="12"/>
      <c r="D1842" s="14"/>
      <c r="F1842" s="14"/>
      <c r="H1842" s="14"/>
      <c r="I1842" s="14"/>
      <c r="K1842" s="4"/>
      <c r="L1842" s="15"/>
      <c r="M1842" s="15"/>
      <c r="N1842" s="15"/>
      <c r="O1842" s="15"/>
      <c r="P1842" s="15"/>
      <c r="Q1842" s="15"/>
      <c r="R1842" s="15"/>
      <c r="S1842" s="15"/>
    </row>
    <row r="1843" spans="1:19" s="13" customFormat="1" x14ac:dyDescent="0.25">
      <c r="A1843" s="15"/>
      <c r="B1843" s="12"/>
      <c r="F1843" s="14"/>
      <c r="H1843" s="14"/>
      <c r="I1843" s="14"/>
      <c r="K1843" s="4"/>
      <c r="L1843" s="15"/>
      <c r="M1843" s="15"/>
      <c r="N1843" s="15"/>
      <c r="O1843" s="15"/>
      <c r="P1843" s="15"/>
      <c r="Q1843" s="15"/>
      <c r="R1843" s="15"/>
      <c r="S1843" s="15"/>
    </row>
    <row r="1844" spans="1:19" s="13" customFormat="1" x14ac:dyDescent="0.25">
      <c r="A1844" s="15"/>
      <c r="B1844" s="12"/>
      <c r="E1844" s="14"/>
      <c r="F1844" s="14"/>
      <c r="H1844" s="14"/>
      <c r="I1844" s="14"/>
      <c r="J1844" s="14"/>
      <c r="K1844" s="4"/>
      <c r="L1844" s="15"/>
      <c r="M1844" s="15"/>
      <c r="N1844" s="15"/>
      <c r="O1844" s="15"/>
      <c r="P1844" s="15"/>
      <c r="Q1844" s="15"/>
      <c r="R1844" s="15"/>
      <c r="S1844" s="15"/>
    </row>
    <row r="1847" spans="1:19" s="13" customFormat="1" x14ac:dyDescent="0.25">
      <c r="A1847" s="15"/>
      <c r="B1847" s="12"/>
      <c r="D1847" s="14"/>
      <c r="F1847" s="14"/>
      <c r="H1847" s="14"/>
      <c r="I1847" s="14"/>
      <c r="K1847" s="4"/>
      <c r="L1847" s="15"/>
      <c r="M1847" s="15"/>
      <c r="N1847" s="15"/>
      <c r="O1847" s="15"/>
      <c r="P1847" s="15"/>
      <c r="Q1847" s="15"/>
      <c r="R1847" s="15"/>
      <c r="S1847" s="15"/>
    </row>
    <row r="1848" spans="1:19" s="13" customFormat="1" x14ac:dyDescent="0.25">
      <c r="A1848" s="15"/>
      <c r="B1848" s="12"/>
      <c r="F1848" s="14"/>
      <c r="H1848" s="14"/>
      <c r="I1848" s="14"/>
      <c r="K1848" s="4"/>
      <c r="L1848" s="15"/>
      <c r="M1848" s="15"/>
      <c r="N1848" s="15"/>
      <c r="O1848" s="15"/>
      <c r="P1848" s="15"/>
      <c r="Q1848" s="15"/>
      <c r="R1848" s="15"/>
      <c r="S1848" s="15"/>
    </row>
    <row r="1849" spans="1:19" s="13" customFormat="1" x14ac:dyDescent="0.25">
      <c r="A1849" s="15"/>
      <c r="B1849" s="12"/>
      <c r="E1849" s="14"/>
      <c r="F1849" s="14"/>
      <c r="H1849" s="14"/>
      <c r="I1849" s="14"/>
      <c r="J1849" s="14"/>
      <c r="K1849" s="4"/>
      <c r="L1849" s="15"/>
      <c r="M1849" s="15"/>
      <c r="N1849" s="15"/>
      <c r="O1849" s="15"/>
      <c r="P1849" s="15"/>
      <c r="Q1849" s="15"/>
      <c r="R1849" s="15"/>
      <c r="S1849" s="15"/>
    </row>
    <row r="1851" spans="1:19" s="13" customFormat="1" x14ac:dyDescent="0.25">
      <c r="A1851" s="15"/>
      <c r="B1851" s="12"/>
      <c r="D1851" s="14"/>
      <c r="F1851" s="14"/>
      <c r="H1851" s="14"/>
      <c r="I1851" s="14"/>
      <c r="K1851" s="4"/>
      <c r="L1851" s="15"/>
      <c r="M1851" s="15"/>
      <c r="N1851" s="15"/>
      <c r="O1851" s="15"/>
      <c r="P1851" s="15"/>
      <c r="Q1851" s="15"/>
      <c r="R1851" s="15"/>
      <c r="S1851" s="15"/>
    </row>
    <row r="1852" spans="1:19" s="13" customFormat="1" x14ac:dyDescent="0.25">
      <c r="A1852" s="15"/>
      <c r="B1852" s="12"/>
      <c r="F1852" s="14"/>
      <c r="H1852" s="14"/>
      <c r="I1852" s="14"/>
      <c r="K1852" s="4"/>
      <c r="L1852" s="15"/>
      <c r="M1852" s="15"/>
      <c r="N1852" s="15"/>
      <c r="O1852" s="15"/>
      <c r="P1852" s="15"/>
      <c r="Q1852" s="15"/>
      <c r="R1852" s="15"/>
      <c r="S1852" s="15"/>
    </row>
    <row r="1853" spans="1:19" s="13" customFormat="1" x14ac:dyDescent="0.25">
      <c r="A1853" s="15"/>
      <c r="B1853" s="12"/>
      <c r="E1853" s="14"/>
      <c r="F1853" s="14"/>
      <c r="H1853" s="14"/>
      <c r="I1853" s="14"/>
      <c r="J1853" s="14"/>
      <c r="K1853" s="4"/>
      <c r="L1853" s="15"/>
      <c r="M1853" s="15"/>
      <c r="N1853" s="15"/>
      <c r="O1853" s="15"/>
      <c r="P1853" s="15"/>
      <c r="Q1853" s="15"/>
      <c r="R1853" s="15"/>
      <c r="S1853" s="15"/>
    </row>
    <row r="1854" spans="1:19" s="13" customFormat="1" x14ac:dyDescent="0.25">
      <c r="A1854" s="15"/>
      <c r="B1854" s="12"/>
      <c r="D1854" s="14"/>
      <c r="F1854" s="14"/>
      <c r="H1854" s="14"/>
      <c r="I1854" s="14"/>
      <c r="K1854" s="4"/>
      <c r="L1854" s="15"/>
      <c r="M1854" s="15"/>
      <c r="N1854" s="15"/>
      <c r="O1854" s="15"/>
      <c r="P1854" s="15"/>
      <c r="Q1854" s="15"/>
      <c r="R1854" s="15"/>
      <c r="S1854" s="15"/>
    </row>
    <row r="1855" spans="1:19" s="13" customFormat="1" x14ac:dyDescent="0.25">
      <c r="A1855" s="15"/>
      <c r="B1855" s="12"/>
      <c r="F1855" s="14"/>
      <c r="H1855" s="14"/>
      <c r="I1855" s="14"/>
      <c r="K1855" s="4"/>
      <c r="L1855" s="15"/>
      <c r="M1855" s="15"/>
      <c r="N1855" s="15"/>
      <c r="O1855" s="15"/>
      <c r="P1855" s="15"/>
      <c r="Q1855" s="15"/>
      <c r="R1855" s="15"/>
      <c r="S1855" s="15"/>
    </row>
    <row r="1856" spans="1:19" s="13" customFormat="1" x14ac:dyDescent="0.25">
      <c r="A1856" s="15"/>
      <c r="B1856" s="12"/>
      <c r="F1856" s="14"/>
      <c r="H1856" s="14"/>
      <c r="I1856" s="14"/>
      <c r="K1856" s="4"/>
      <c r="L1856" s="15"/>
      <c r="M1856" s="15"/>
      <c r="N1856" s="15"/>
      <c r="O1856" s="15"/>
      <c r="P1856" s="15"/>
      <c r="Q1856" s="15"/>
      <c r="R1856" s="15"/>
      <c r="S1856" s="15"/>
    </row>
    <row r="1857" spans="1:19" s="13" customFormat="1" x14ac:dyDescent="0.25">
      <c r="A1857" s="15"/>
      <c r="B1857" s="12"/>
      <c r="E1857" s="14"/>
      <c r="F1857" s="14"/>
      <c r="H1857" s="14"/>
      <c r="I1857" s="14"/>
      <c r="J1857" s="14"/>
      <c r="K1857" s="4"/>
      <c r="L1857" s="15"/>
      <c r="M1857" s="15"/>
      <c r="N1857" s="15"/>
      <c r="O1857" s="15"/>
      <c r="P1857" s="15"/>
      <c r="Q1857" s="15"/>
      <c r="R1857" s="15"/>
      <c r="S1857" s="15"/>
    </row>
    <row r="1858" spans="1:19" s="13" customFormat="1" x14ac:dyDescent="0.25">
      <c r="A1858" s="15"/>
      <c r="B1858" s="12"/>
      <c r="D1858" s="14"/>
      <c r="F1858" s="14"/>
      <c r="H1858" s="14"/>
      <c r="I1858" s="14"/>
      <c r="K1858" s="4"/>
      <c r="L1858" s="15"/>
      <c r="M1858" s="15"/>
      <c r="N1858" s="15"/>
      <c r="O1858" s="15"/>
      <c r="P1858" s="15"/>
      <c r="Q1858" s="15"/>
      <c r="R1858" s="15"/>
      <c r="S1858" s="15"/>
    </row>
    <row r="1859" spans="1:19" s="13" customFormat="1" x14ac:dyDescent="0.25">
      <c r="A1859" s="15"/>
      <c r="B1859" s="12"/>
      <c r="F1859" s="14"/>
      <c r="H1859" s="14"/>
      <c r="I1859" s="14"/>
      <c r="K1859" s="4"/>
      <c r="L1859" s="15"/>
      <c r="M1859" s="15"/>
      <c r="N1859" s="15"/>
      <c r="O1859" s="15"/>
      <c r="P1859" s="15"/>
      <c r="Q1859" s="15"/>
      <c r="R1859" s="15"/>
      <c r="S1859" s="15"/>
    </row>
    <row r="1860" spans="1:19" s="13" customFormat="1" x14ac:dyDescent="0.25">
      <c r="A1860" s="15"/>
      <c r="B1860" s="12"/>
      <c r="F1860" s="14"/>
      <c r="H1860" s="14"/>
      <c r="I1860" s="14"/>
      <c r="K1860" s="4"/>
      <c r="L1860" s="15"/>
      <c r="M1860" s="15"/>
      <c r="N1860" s="15"/>
      <c r="O1860" s="15"/>
      <c r="P1860" s="15"/>
      <c r="Q1860" s="15"/>
      <c r="R1860" s="15"/>
      <c r="S1860" s="15"/>
    </row>
    <row r="1861" spans="1:19" s="13" customFormat="1" x14ac:dyDescent="0.25">
      <c r="A1861" s="15"/>
      <c r="B1861" s="12"/>
      <c r="E1861" s="14"/>
      <c r="F1861" s="14"/>
      <c r="H1861" s="14"/>
      <c r="I1861" s="14"/>
      <c r="J1861" s="14"/>
      <c r="K1861" s="4"/>
      <c r="L1861" s="15"/>
      <c r="M1861" s="15"/>
      <c r="N1861" s="15"/>
      <c r="O1861" s="15"/>
      <c r="P1861" s="15"/>
      <c r="Q1861" s="15"/>
      <c r="R1861" s="15"/>
      <c r="S1861" s="15"/>
    </row>
    <row r="1862" spans="1:19" s="13" customFormat="1" x14ac:dyDescent="0.25">
      <c r="A1862" s="15"/>
      <c r="B1862" s="12"/>
      <c r="D1862" s="14"/>
      <c r="E1862" s="14"/>
      <c r="F1862" s="14"/>
      <c r="H1862" s="14"/>
      <c r="I1862" s="14"/>
      <c r="J1862" s="14"/>
      <c r="K1862" s="4"/>
      <c r="L1862" s="15"/>
      <c r="M1862" s="15"/>
      <c r="N1862" s="15"/>
      <c r="O1862" s="15"/>
      <c r="P1862" s="15"/>
      <c r="Q1862" s="15"/>
      <c r="R1862" s="15"/>
      <c r="S1862" s="15"/>
    </row>
    <row r="1863" spans="1:19" s="13" customFormat="1" x14ac:dyDescent="0.25">
      <c r="A1863" s="15"/>
      <c r="B1863" s="12"/>
      <c r="D1863" s="14"/>
      <c r="E1863" s="14"/>
      <c r="F1863" s="14"/>
      <c r="H1863" s="14"/>
      <c r="I1863" s="14"/>
      <c r="J1863" s="14"/>
      <c r="K1863" s="4"/>
      <c r="L1863" s="15"/>
      <c r="M1863" s="15"/>
      <c r="N1863" s="15"/>
      <c r="O1863" s="15"/>
      <c r="P1863" s="15"/>
      <c r="Q1863" s="15"/>
      <c r="R1863" s="15"/>
      <c r="S1863" s="15"/>
    </row>
    <row r="1864" spans="1:19" s="13" customFormat="1" x14ac:dyDescent="0.25">
      <c r="A1864" s="15"/>
      <c r="B1864" s="12"/>
      <c r="D1864" s="14"/>
      <c r="F1864" s="14"/>
      <c r="H1864" s="14"/>
      <c r="I1864" s="14"/>
      <c r="K1864" s="4"/>
      <c r="L1864" s="15"/>
      <c r="M1864" s="15"/>
      <c r="N1864" s="15"/>
      <c r="O1864" s="15"/>
      <c r="P1864" s="15"/>
      <c r="Q1864" s="15"/>
      <c r="R1864" s="15"/>
      <c r="S1864" s="15"/>
    </row>
    <row r="1865" spans="1:19" s="13" customFormat="1" x14ac:dyDescent="0.25">
      <c r="A1865" s="15"/>
      <c r="B1865" s="12"/>
      <c r="E1865" s="14"/>
      <c r="F1865" s="14"/>
      <c r="H1865" s="14"/>
      <c r="I1865" s="14"/>
      <c r="J1865" s="14"/>
      <c r="K1865" s="4"/>
      <c r="L1865" s="15"/>
      <c r="M1865" s="15"/>
      <c r="N1865" s="15"/>
      <c r="O1865" s="15"/>
      <c r="P1865" s="15"/>
      <c r="Q1865" s="15"/>
      <c r="R1865" s="15"/>
      <c r="S1865" s="15"/>
    </row>
    <row r="1866" spans="1:19" s="13" customFormat="1" x14ac:dyDescent="0.25">
      <c r="A1866" s="15"/>
      <c r="B1866" s="12"/>
      <c r="D1866" s="14"/>
      <c r="F1866" s="14"/>
      <c r="H1866" s="14"/>
      <c r="I1866" s="14"/>
      <c r="K1866" s="4"/>
      <c r="L1866" s="15"/>
      <c r="M1866" s="15"/>
      <c r="N1866" s="15"/>
      <c r="O1866" s="15"/>
      <c r="P1866" s="15"/>
      <c r="Q1866" s="15"/>
      <c r="R1866" s="15"/>
      <c r="S1866" s="15"/>
    </row>
    <row r="1867" spans="1:19" s="13" customFormat="1" x14ac:dyDescent="0.25">
      <c r="A1867" s="15"/>
      <c r="B1867" s="12"/>
      <c r="F1867" s="14"/>
      <c r="H1867" s="14"/>
      <c r="I1867" s="14"/>
      <c r="K1867" s="4"/>
      <c r="L1867" s="15"/>
      <c r="M1867" s="15"/>
      <c r="N1867" s="15"/>
      <c r="O1867" s="15"/>
      <c r="P1867" s="15"/>
      <c r="Q1867" s="15"/>
      <c r="R1867" s="15"/>
      <c r="S1867" s="15"/>
    </row>
    <row r="1868" spans="1:19" s="13" customFormat="1" x14ac:dyDescent="0.25">
      <c r="A1868" s="15"/>
      <c r="B1868" s="12"/>
      <c r="E1868" s="14"/>
      <c r="F1868" s="14"/>
      <c r="H1868" s="14"/>
      <c r="I1868" s="14"/>
      <c r="J1868" s="14"/>
      <c r="K1868" s="4"/>
      <c r="L1868" s="15"/>
      <c r="M1868" s="15"/>
      <c r="N1868" s="15"/>
      <c r="O1868" s="15"/>
      <c r="P1868" s="15"/>
      <c r="Q1868" s="15"/>
      <c r="R1868" s="15"/>
      <c r="S1868" s="15"/>
    </row>
    <row r="1869" spans="1:19" s="50" customFormat="1" x14ac:dyDescent="0.25">
      <c r="A1869" s="15"/>
      <c r="B1869" s="12"/>
      <c r="C1869" s="13"/>
      <c r="D1869" s="14"/>
      <c r="E1869" s="14"/>
      <c r="F1869" s="14"/>
      <c r="G1869" s="13"/>
      <c r="H1869" s="14"/>
      <c r="I1869" s="14"/>
      <c r="J1869" s="14"/>
      <c r="K1869" s="4"/>
      <c r="L1869" s="15"/>
      <c r="M1869" s="15"/>
      <c r="N1869" s="15"/>
      <c r="O1869" s="15"/>
      <c r="P1869" s="15"/>
      <c r="Q1869" s="15"/>
      <c r="R1869" s="15"/>
      <c r="S1869" s="15"/>
    </row>
    <row r="1873" spans="1:19" s="50" customFormat="1" x14ac:dyDescent="0.25">
      <c r="A1873" s="15"/>
      <c r="B1873" s="12"/>
      <c r="C1873" s="13"/>
      <c r="D1873" s="14"/>
      <c r="E1873" s="14"/>
      <c r="F1873" s="14"/>
      <c r="G1873" s="13"/>
      <c r="H1873" s="14"/>
      <c r="I1873" s="14"/>
      <c r="J1873" s="14"/>
      <c r="K1873" s="4"/>
      <c r="L1873" s="15"/>
      <c r="M1873" s="15"/>
      <c r="N1873" s="15"/>
      <c r="O1873" s="15"/>
      <c r="P1873" s="15"/>
      <c r="Q1873" s="15"/>
      <c r="R1873" s="15"/>
      <c r="S1873" s="15"/>
    </row>
    <row r="1874" spans="1:19" s="50" customFormat="1" x14ac:dyDescent="0.25">
      <c r="A1874" s="15"/>
      <c r="B1874" s="12"/>
      <c r="C1874" s="13"/>
      <c r="D1874" s="14"/>
      <c r="E1874" s="14"/>
      <c r="F1874" s="14"/>
      <c r="G1874" s="13"/>
      <c r="H1874" s="14"/>
      <c r="I1874" s="14"/>
      <c r="J1874" s="14"/>
      <c r="K1874" s="4"/>
      <c r="L1874" s="15"/>
      <c r="M1874" s="15"/>
      <c r="N1874" s="15"/>
      <c r="O1874" s="15"/>
      <c r="P1874" s="15"/>
      <c r="Q1874" s="15"/>
      <c r="R1874" s="15"/>
      <c r="S1874" s="15"/>
    </row>
    <row r="1876" spans="1:19" s="50" customFormat="1" x14ac:dyDescent="0.25">
      <c r="A1876" s="15"/>
      <c r="B1876" s="12"/>
      <c r="C1876" s="13"/>
      <c r="D1876" s="14"/>
      <c r="E1876" s="14"/>
      <c r="F1876" s="14"/>
      <c r="G1876" s="13"/>
      <c r="H1876" s="14"/>
      <c r="I1876" s="14"/>
      <c r="J1876" s="14"/>
      <c r="K1876" s="11"/>
      <c r="L1876" s="15"/>
      <c r="M1876" s="15"/>
      <c r="N1876" s="15"/>
      <c r="O1876" s="15"/>
      <c r="P1876" s="15"/>
      <c r="Q1876" s="15"/>
      <c r="R1876" s="15"/>
      <c r="S1876" s="15"/>
    </row>
    <row r="1877" spans="1:19" s="50" customFormat="1" x14ac:dyDescent="0.25">
      <c r="A1877" s="15"/>
      <c r="B1877" s="12"/>
      <c r="C1877" s="13"/>
      <c r="D1877" s="14"/>
      <c r="E1877" s="14"/>
      <c r="F1877" s="14"/>
      <c r="G1877" s="13"/>
      <c r="H1877" s="14"/>
      <c r="I1877" s="14"/>
      <c r="J1877" s="14"/>
      <c r="K1877" s="11"/>
      <c r="L1877" s="15"/>
      <c r="M1877" s="15"/>
      <c r="N1877" s="15"/>
      <c r="O1877" s="15"/>
      <c r="P1877" s="15"/>
      <c r="Q1877" s="15"/>
      <c r="R1877" s="15"/>
      <c r="S1877" s="15"/>
    </row>
    <row r="1878" spans="1:19" s="50" customFormat="1" x14ac:dyDescent="0.25">
      <c r="A1878" s="15"/>
      <c r="B1878" s="12"/>
      <c r="C1878" s="13"/>
      <c r="D1878" s="14"/>
      <c r="E1878" s="14"/>
      <c r="F1878" s="14"/>
      <c r="G1878" s="13"/>
      <c r="H1878" s="14"/>
      <c r="I1878" s="14"/>
      <c r="J1878" s="14"/>
      <c r="K1878" s="11"/>
      <c r="L1878" s="15"/>
      <c r="M1878" s="15"/>
      <c r="N1878" s="15"/>
      <c r="O1878" s="15"/>
      <c r="P1878" s="15"/>
      <c r="Q1878" s="15"/>
      <c r="R1878" s="15"/>
      <c r="S1878" s="15"/>
    </row>
    <row r="1880" spans="1:19" s="50" customFormat="1" x14ac:dyDescent="0.25">
      <c r="A1880" s="15"/>
      <c r="B1880" s="12"/>
      <c r="C1880" s="13"/>
      <c r="D1880" s="14"/>
      <c r="E1880" s="14"/>
      <c r="F1880" s="14"/>
      <c r="G1880" s="13"/>
      <c r="H1880" s="14"/>
      <c r="I1880" s="14"/>
      <c r="J1880" s="14"/>
      <c r="K1880" s="4"/>
      <c r="L1880" s="15"/>
      <c r="M1880" s="15"/>
      <c r="N1880" s="15"/>
      <c r="O1880" s="15"/>
      <c r="P1880" s="15"/>
      <c r="Q1880" s="15"/>
      <c r="R1880" s="15"/>
      <c r="S1880" s="15"/>
    </row>
    <row r="1881" spans="1:19" s="50" customFormat="1" x14ac:dyDescent="0.25">
      <c r="A1881" s="15"/>
      <c r="B1881" s="12"/>
      <c r="C1881" s="13"/>
      <c r="D1881" s="14"/>
      <c r="E1881" s="14"/>
      <c r="F1881" s="14"/>
      <c r="G1881" s="13"/>
      <c r="H1881" s="14"/>
      <c r="I1881" s="14"/>
      <c r="J1881" s="14"/>
      <c r="K1881" s="4"/>
      <c r="L1881" s="15"/>
      <c r="M1881" s="15"/>
      <c r="N1881" s="15"/>
      <c r="O1881" s="15"/>
      <c r="P1881" s="15"/>
      <c r="Q1881" s="15"/>
      <c r="R1881" s="15"/>
      <c r="S1881" s="15"/>
    </row>
    <row r="1882" spans="1:19" s="50" customFormat="1" x14ac:dyDescent="0.25">
      <c r="A1882" s="15"/>
      <c r="B1882" s="12"/>
      <c r="C1882" s="13"/>
      <c r="D1882" s="14"/>
      <c r="E1882" s="14"/>
      <c r="F1882" s="14"/>
      <c r="G1882" s="13"/>
      <c r="H1882" s="14"/>
      <c r="I1882" s="14"/>
      <c r="J1882" s="14"/>
      <c r="K1882" s="4"/>
      <c r="L1882" s="15"/>
      <c r="M1882" s="15"/>
      <c r="N1882" s="15"/>
      <c r="O1882" s="15"/>
      <c r="P1882" s="15"/>
      <c r="Q1882" s="15"/>
      <c r="R1882" s="15"/>
      <c r="S1882" s="15"/>
    </row>
    <row r="1884" spans="1:19" s="50" customFormat="1" x14ac:dyDescent="0.25">
      <c r="A1884" s="15"/>
      <c r="B1884" s="12"/>
      <c r="C1884" s="13"/>
      <c r="D1884" s="14"/>
      <c r="E1884" s="14"/>
      <c r="F1884" s="14"/>
      <c r="G1884" s="13"/>
      <c r="H1884" s="14"/>
      <c r="I1884" s="14"/>
      <c r="J1884" s="14"/>
      <c r="K1884" s="4"/>
      <c r="L1884" s="15"/>
      <c r="M1884" s="15"/>
      <c r="N1884" s="15"/>
      <c r="O1884" s="15"/>
      <c r="P1884" s="15"/>
      <c r="Q1884" s="15"/>
      <c r="R1884" s="15"/>
      <c r="S1884" s="15"/>
    </row>
    <row r="1902" spans="1:11" s="66" customFormat="1" x14ac:dyDescent="0.25">
      <c r="A1902" s="15"/>
      <c r="B1902" s="12"/>
      <c r="C1902" s="13"/>
      <c r="D1902" s="14"/>
      <c r="E1902" s="14"/>
      <c r="F1902" s="14"/>
      <c r="G1902" s="13"/>
      <c r="H1902" s="14"/>
      <c r="I1902" s="14"/>
      <c r="J1902" s="14"/>
      <c r="K1902" s="4"/>
    </row>
    <row r="1903" spans="1:11" s="66" customFormat="1" x14ac:dyDescent="0.25">
      <c r="A1903" s="15"/>
      <c r="B1903" s="12"/>
      <c r="C1903" s="13"/>
      <c r="D1903" s="14"/>
      <c r="E1903" s="14"/>
      <c r="F1903" s="14"/>
      <c r="G1903" s="13"/>
      <c r="H1903" s="14"/>
      <c r="I1903" s="14"/>
      <c r="J1903" s="14"/>
      <c r="K1903" s="4"/>
    </row>
    <row r="1904" spans="1:11" s="66" customFormat="1" x14ac:dyDescent="0.25">
      <c r="A1904" s="15"/>
      <c r="B1904" s="12"/>
      <c r="C1904" s="13"/>
      <c r="D1904" s="14"/>
      <c r="E1904" s="14"/>
      <c r="F1904" s="14"/>
      <c r="G1904" s="13"/>
      <c r="H1904" s="14"/>
      <c r="I1904" s="14"/>
      <c r="J1904" s="14"/>
      <c r="K1904" s="4"/>
    </row>
  </sheetData>
  <autoFilter ref="A25:S1476"/>
  <mergeCells count="29">
    <mergeCell ref="A543:A598"/>
    <mergeCell ref="A599:A645"/>
    <mergeCell ref="A740:A978"/>
    <mergeCell ref="A1478:B1478"/>
    <mergeCell ref="A1431:A1475"/>
    <mergeCell ref="A1380:A1430"/>
    <mergeCell ref="A648:A732"/>
    <mergeCell ref="A979:A1179"/>
    <mergeCell ref="A28:A34"/>
    <mergeCell ref="A37:A356"/>
    <mergeCell ref="A358:A401"/>
    <mergeCell ref="A402:A435"/>
    <mergeCell ref="A436:A517"/>
    <mergeCell ref="I1480:K1480"/>
    <mergeCell ref="A1180:A1260"/>
    <mergeCell ref="A1261:A1316"/>
    <mergeCell ref="A1317:A1379"/>
    <mergeCell ref="A18:K18"/>
    <mergeCell ref="A19:K19"/>
    <mergeCell ref="A20:K20"/>
    <mergeCell ref="J22:K22"/>
    <mergeCell ref="A23:A24"/>
    <mergeCell ref="B23:B24"/>
    <mergeCell ref="C23:C24"/>
    <mergeCell ref="D23:J23"/>
    <mergeCell ref="K23:K24"/>
    <mergeCell ref="F24:I24"/>
    <mergeCell ref="A1479:B1479"/>
    <mergeCell ref="A1480:B1480"/>
  </mergeCells>
  <pageMargins left="0.78740157480314965" right="0.39370078740157483" top="1.1811023622047245" bottom="0.59055118110236227" header="0.51181102362204722" footer="0.31496062992125984"/>
  <pageSetup paperSize="9" fitToHeight="0"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(3)</vt:lpstr>
      <vt:lpstr>'по новой классификации (3)'!Заголовки_для_печати</vt:lpstr>
      <vt:lpstr>'по новой классификации (3)'!Область_печати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2025-08-29T13:59:34Z</cp:lastPrinted>
  <dcterms:created xsi:type="dcterms:W3CDTF">2008-10-22T15:37:46Z</dcterms:created>
  <dcterms:modified xsi:type="dcterms:W3CDTF">2025-08-29T14:00:05Z</dcterms:modified>
</cp:coreProperties>
</file>