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465" yWindow="60" windowWidth="15045" windowHeight="12750"/>
  </bookViews>
  <sheets>
    <sheet name="по новой классификации (3)" sheetId="7" r:id="rId1"/>
  </sheets>
  <definedNames>
    <definedName name="_xlnm._FilterDatabase" localSheetId="0" hidden="1">'по новой классификации (3)'!$A$15:$X$1197</definedName>
    <definedName name="_xlnm.Print_Titles" localSheetId="0">'по новой классификации (3)'!$14:$14</definedName>
    <definedName name="_xlnm.Print_Area" localSheetId="0">'по новой классификации (3)'!$A$1:$M$1202</definedName>
  </definedNames>
  <calcPr calcId="144525" iterate="1"/>
</workbook>
</file>

<file path=xl/calcChain.xml><?xml version="1.0" encoding="utf-8"?>
<calcChain xmlns="http://schemas.openxmlformats.org/spreadsheetml/2006/main">
  <c r="K401" i="7" l="1"/>
  <c r="K388" i="7" l="1"/>
  <c r="L437" i="7"/>
  <c r="K141" i="7"/>
  <c r="K140" i="7"/>
  <c r="L705" i="7"/>
  <c r="K1061" i="7"/>
  <c r="K484" i="7"/>
  <c r="L451" i="7"/>
  <c r="K451" i="7"/>
  <c r="M452" i="7"/>
  <c r="K144" i="7"/>
  <c r="K1083" i="7"/>
  <c r="L914" i="7"/>
  <c r="K780" i="7"/>
  <c r="L757" i="7"/>
  <c r="K757" i="7"/>
  <c r="L754" i="7"/>
  <c r="L753" i="7" s="1"/>
  <c r="L547" i="7"/>
  <c r="L459" i="7"/>
  <c r="K459" i="7"/>
  <c r="M460" i="7"/>
  <c r="L341" i="7"/>
  <c r="K341" i="7"/>
  <c r="L271" i="7"/>
  <c r="K271" i="7"/>
  <c r="M272" i="7"/>
  <c r="L67" i="7"/>
  <c r="L21" i="7"/>
  <c r="L24" i="7"/>
  <c r="L32" i="7"/>
  <c r="L31" i="7" s="1"/>
  <c r="L33" i="7"/>
  <c r="L39" i="7"/>
  <c r="L38" i="7" s="1"/>
  <c r="L44" i="7"/>
  <c r="L43" i="7" s="1"/>
  <c r="L42" i="7" s="1"/>
  <c r="L41" i="7" s="1"/>
  <c r="L51" i="7"/>
  <c r="L48" i="7" s="1"/>
  <c r="L54" i="7"/>
  <c r="L52" i="7" s="1"/>
  <c r="L55" i="7"/>
  <c r="L58" i="7"/>
  <c r="L62" i="7"/>
  <c r="L65" i="7"/>
  <c r="L66" i="7"/>
  <c r="L73" i="7"/>
  <c r="L72" i="7" s="1"/>
  <c r="L78" i="7"/>
  <c r="L77" i="7" s="1"/>
  <c r="L76" i="7" s="1"/>
  <c r="L85" i="7"/>
  <c r="L84" i="7" s="1"/>
  <c r="L93" i="7"/>
  <c r="L95" i="7"/>
  <c r="L97" i="7"/>
  <c r="L101" i="7"/>
  <c r="L107" i="7"/>
  <c r="L106" i="7" s="1"/>
  <c r="L111" i="7"/>
  <c r="L110" i="7" s="1"/>
  <c r="L116" i="7"/>
  <c r="L121" i="7"/>
  <c r="L127" i="7"/>
  <c r="L126" i="7" s="1"/>
  <c r="L125" i="7" s="1"/>
  <c r="L133" i="7"/>
  <c r="L135" i="7"/>
  <c r="L134" i="7" s="1"/>
  <c r="L140" i="7"/>
  <c r="L143" i="7"/>
  <c r="L148" i="7"/>
  <c r="L147" i="7" s="1"/>
  <c r="L146" i="7" s="1"/>
  <c r="L153" i="7"/>
  <c r="L152" i="7" s="1"/>
  <c r="L161" i="7"/>
  <c r="L160" i="7" s="1"/>
  <c r="L159" i="7" s="1"/>
  <c r="L167" i="7"/>
  <c r="L166" i="7" s="1"/>
  <c r="L170" i="7"/>
  <c r="L169" i="7" s="1"/>
  <c r="L171" i="7"/>
  <c r="L177" i="7"/>
  <c r="L182" i="7"/>
  <c r="L181" i="7" s="1"/>
  <c r="L191" i="7"/>
  <c r="L199" i="7"/>
  <c r="L198" i="7" s="1"/>
  <c r="L205" i="7"/>
  <c r="L204" i="7" s="1"/>
  <c r="L210" i="7"/>
  <c r="L209" i="7" s="1"/>
  <c r="L218" i="7"/>
  <c r="L217" i="7" s="1"/>
  <c r="L216" i="7" s="1"/>
  <c r="L215" i="7" s="1"/>
  <c r="L225" i="7"/>
  <c r="L233" i="7"/>
  <c r="L238" i="7"/>
  <c r="L237" i="7" s="1"/>
  <c r="L239" i="7"/>
  <c r="L242" i="7"/>
  <c r="L241" i="7" s="1"/>
  <c r="L248" i="7"/>
  <c r="L254" i="7"/>
  <c r="L253" i="7" s="1"/>
  <c r="L257" i="7"/>
  <c r="L259" i="7"/>
  <c r="L276" i="7"/>
  <c r="L282" i="7"/>
  <c r="L284" i="7"/>
  <c r="L288" i="7"/>
  <c r="L295" i="7"/>
  <c r="L294" i="7" s="1"/>
  <c r="L301" i="7"/>
  <c r="L300" i="7" s="1"/>
  <c r="L308" i="7"/>
  <c r="L307" i="7" s="1"/>
  <c r="L306" i="7" s="1"/>
  <c r="L315" i="7"/>
  <c r="L322" i="7"/>
  <c r="L321" i="7" s="1"/>
  <c r="L329" i="7"/>
  <c r="L336" i="7"/>
  <c r="L335" i="7" s="1"/>
  <c r="L334" i="7" s="1"/>
  <c r="L343" i="7"/>
  <c r="L345" i="7"/>
  <c r="L346" i="7"/>
  <c r="L352" i="7"/>
  <c r="L351" i="7" s="1"/>
  <c r="L359" i="7"/>
  <c r="L358" i="7" s="1"/>
  <c r="L357" i="7" s="1"/>
  <c r="L366" i="7"/>
  <c r="L365" i="7" s="1"/>
  <c r="L374" i="7"/>
  <c r="L373" i="7" s="1"/>
  <c r="L385" i="7"/>
  <c r="L384" i="7" s="1"/>
  <c r="L387" i="7"/>
  <c r="L391" i="7"/>
  <c r="L398" i="7"/>
  <c r="L400" i="7"/>
  <c r="L406" i="7"/>
  <c r="L405" i="7" s="1"/>
  <c r="L412" i="7"/>
  <c r="L411" i="7" s="1"/>
  <c r="L419" i="7"/>
  <c r="L425" i="7"/>
  <c r="L429" i="7"/>
  <c r="L441" i="7"/>
  <c r="L445" i="7"/>
  <c r="L449" i="7"/>
  <c r="L456" i="7"/>
  <c r="L461" i="7"/>
  <c r="L463" i="7"/>
  <c r="L467" i="7"/>
  <c r="L472" i="7"/>
  <c r="L471" i="7" s="1"/>
  <c r="L476" i="7"/>
  <c r="L475" i="7" s="1"/>
  <c r="L493" i="7"/>
  <c r="L492" i="7" s="1"/>
  <c r="L500" i="7"/>
  <c r="L499" i="7" s="1"/>
  <c r="L498" i="7" s="1"/>
  <c r="L509" i="7"/>
  <c r="L508" i="7" s="1"/>
  <c r="L507" i="7" s="1"/>
  <c r="L512" i="7"/>
  <c r="L523" i="7"/>
  <c r="L522" i="7" s="1"/>
  <c r="L527" i="7"/>
  <c r="L526" i="7" s="1"/>
  <c r="L534" i="7"/>
  <c r="L540" i="7"/>
  <c r="L539" i="7" s="1"/>
  <c r="L538" i="7" s="1"/>
  <c r="L555" i="7"/>
  <c r="L557" i="7"/>
  <c r="L563" i="7"/>
  <c r="L565" i="7"/>
  <c r="L571" i="7"/>
  <c r="L576" i="7"/>
  <c r="L578" i="7"/>
  <c r="L579" i="7"/>
  <c r="L580" i="7"/>
  <c r="L582" i="7"/>
  <c r="L586" i="7"/>
  <c r="L585" i="7" s="1"/>
  <c r="L584" i="7" s="1"/>
  <c r="L592" i="7"/>
  <c r="L591" i="7" s="1"/>
  <c r="L599" i="7"/>
  <c r="L598" i="7" s="1"/>
  <c r="L597" i="7" s="1"/>
  <c r="L596" i="7" s="1"/>
  <c r="L595" i="7" s="1"/>
  <c r="L608" i="7"/>
  <c r="L607" i="7" s="1"/>
  <c r="L615" i="7"/>
  <c r="L617" i="7"/>
  <c r="L621" i="7"/>
  <c r="L620" i="7" s="1"/>
  <c r="L623" i="7"/>
  <c r="L626" i="7"/>
  <c r="L625" i="7" s="1"/>
  <c r="L628" i="7"/>
  <c r="L627" i="7" s="1"/>
  <c r="L630" i="7"/>
  <c r="L629" i="7" s="1"/>
  <c r="L636" i="7"/>
  <c r="L635" i="7" s="1"/>
  <c r="L634" i="7" s="1"/>
  <c r="L640" i="7"/>
  <c r="L639" i="7" s="1"/>
  <c r="L646" i="7"/>
  <c r="L645" i="7" s="1"/>
  <c r="L650" i="7"/>
  <c r="L649" i="7" s="1"/>
  <c r="L648" i="7" s="1"/>
  <c r="L647" i="7" s="1"/>
  <c r="L656" i="7"/>
  <c r="L655" i="7" s="1"/>
  <c r="L657" i="7"/>
  <c r="L660" i="7"/>
  <c r="L659" i="7" s="1"/>
  <c r="L661" i="7"/>
  <c r="L665" i="7"/>
  <c r="L666" i="7"/>
  <c r="L669" i="7"/>
  <c r="L668" i="7" s="1"/>
  <c r="L667" i="7" s="1"/>
  <c r="L671" i="7"/>
  <c r="L674" i="7"/>
  <c r="L673" i="7" s="1"/>
  <c r="L676" i="7"/>
  <c r="L675" i="7" s="1"/>
  <c r="L678" i="7"/>
  <c r="L681" i="7"/>
  <c r="L680" i="7" s="1"/>
  <c r="L683" i="7"/>
  <c r="L685" i="7"/>
  <c r="L684" i="7" s="1"/>
  <c r="L687" i="7"/>
  <c r="L686" i="7" s="1"/>
  <c r="L689" i="7"/>
  <c r="L688" i="7" s="1"/>
  <c r="L690" i="7"/>
  <c r="L693" i="7"/>
  <c r="L692" i="7" s="1"/>
  <c r="L695" i="7"/>
  <c r="L694" i="7" s="1"/>
  <c r="L697" i="7"/>
  <c r="L696" i="7" s="1"/>
  <c r="L700" i="7"/>
  <c r="L699" i="7" s="1"/>
  <c r="L707" i="7"/>
  <c r="L712" i="7"/>
  <c r="L711" i="7" s="1"/>
  <c r="L718" i="7"/>
  <c r="L717" i="7" s="1"/>
  <c r="L716" i="7" s="1"/>
  <c r="L722" i="7"/>
  <c r="L721" i="7" s="1"/>
  <c r="L720" i="7" s="1"/>
  <c r="L725" i="7"/>
  <c r="L724" i="7" s="1"/>
  <c r="L723" i="7" s="1"/>
  <c r="L732" i="7"/>
  <c r="L731" i="7" s="1"/>
  <c r="L733" i="7"/>
  <c r="L737" i="7"/>
  <c r="L736" i="7" s="1"/>
  <c r="L739" i="7"/>
  <c r="L741" i="7"/>
  <c r="L747" i="7"/>
  <c r="L746" i="7" s="1"/>
  <c r="L748" i="7"/>
  <c r="L763" i="7"/>
  <c r="L762" i="7" s="1"/>
  <c r="L769" i="7"/>
  <c r="L773" i="7"/>
  <c r="L771" i="7" s="1"/>
  <c r="L778" i="7"/>
  <c r="L775" i="7" s="1"/>
  <c r="L779" i="7"/>
  <c r="L784" i="7"/>
  <c r="L783" i="7" s="1"/>
  <c r="L786" i="7"/>
  <c r="L785" i="7" s="1"/>
  <c r="L788" i="7"/>
  <c r="L787" i="7" s="1"/>
  <c r="L792" i="7"/>
  <c r="L799" i="7"/>
  <c r="L798" i="7" s="1"/>
  <c r="L800" i="7"/>
  <c r="L803" i="7"/>
  <c r="L802" i="7" s="1"/>
  <c r="L805" i="7"/>
  <c r="L804" i="7" s="1"/>
  <c r="L808" i="7"/>
  <c r="L810" i="7"/>
  <c r="L809" i="7" s="1"/>
  <c r="L812" i="7"/>
  <c r="L811" i="7" s="1"/>
  <c r="L816" i="7"/>
  <c r="L814" i="7" s="1"/>
  <c r="L819" i="7"/>
  <c r="L818" i="7" s="1"/>
  <c r="L817" i="7" s="1"/>
  <c r="L824" i="7"/>
  <c r="L823" i="7" s="1"/>
  <c r="L830" i="7"/>
  <c r="L828" i="7" s="1"/>
  <c r="L832" i="7"/>
  <c r="L833" i="7"/>
  <c r="L838" i="7"/>
  <c r="L837" i="7" s="1"/>
  <c r="L845" i="7"/>
  <c r="L846" i="7"/>
  <c r="L853" i="7"/>
  <c r="L858" i="7"/>
  <c r="L864" i="7"/>
  <c r="L863" i="7" s="1"/>
  <c r="L872" i="7"/>
  <c r="L871" i="7" s="1"/>
  <c r="L876" i="7"/>
  <c r="L878" i="7"/>
  <c r="L882" i="7"/>
  <c r="L884" i="7"/>
  <c r="L886" i="7"/>
  <c r="L890" i="7"/>
  <c r="L893" i="7"/>
  <c r="L892" i="7" s="1"/>
  <c r="L897" i="7"/>
  <c r="L896" i="7" s="1"/>
  <c r="L901" i="7"/>
  <c r="L907" i="7"/>
  <c r="L906" i="7" s="1"/>
  <c r="L924" i="7"/>
  <c r="L930" i="7"/>
  <c r="L935" i="7"/>
  <c r="L934" i="7" s="1"/>
  <c r="L936" i="7"/>
  <c r="L940" i="7"/>
  <c r="L939" i="7" s="1"/>
  <c r="L938" i="7" s="1"/>
  <c r="L945" i="7"/>
  <c r="L944" i="7" s="1"/>
  <c r="L951" i="7"/>
  <c r="L950" i="7" s="1"/>
  <c r="L954" i="7"/>
  <c r="L962" i="7"/>
  <c r="L961" i="7" s="1"/>
  <c r="L970" i="7"/>
  <c r="L969" i="7" s="1"/>
  <c r="L968" i="7" s="1"/>
  <c r="L977" i="7"/>
  <c r="L983" i="7"/>
  <c r="L982" i="7" s="1"/>
  <c r="L986" i="7"/>
  <c r="L987" i="7"/>
  <c r="L989" i="7"/>
  <c r="L988" i="7" s="1"/>
  <c r="L990" i="7"/>
  <c r="L993" i="7"/>
  <c r="L992" i="7" s="1"/>
  <c r="L995" i="7"/>
  <c r="L994" i="7" s="1"/>
  <c r="L996" i="7"/>
  <c r="L1002" i="7"/>
  <c r="L1008" i="7"/>
  <c r="L1007" i="7" s="1"/>
  <c r="L1012" i="7"/>
  <c r="L1011" i="7" s="1"/>
  <c r="L1015" i="7"/>
  <c r="L1017" i="7"/>
  <c r="L1027" i="7"/>
  <c r="L1032" i="7"/>
  <c r="L1040" i="7"/>
  <c r="L1039" i="7" s="1"/>
  <c r="L1048" i="7"/>
  <c r="L1047" i="7" s="1"/>
  <c r="L1046" i="7" s="1"/>
  <c r="L1054" i="7"/>
  <c r="L1053" i="7" s="1"/>
  <c r="L1066" i="7"/>
  <c r="L1065" i="7" s="1"/>
  <c r="L1067" i="7"/>
  <c r="L1072" i="7"/>
  <c r="L1071" i="7" s="1"/>
  <c r="L1077" i="7"/>
  <c r="L1076" i="7" s="1"/>
  <c r="L1086" i="7"/>
  <c r="L1095" i="7"/>
  <c r="L1098" i="7"/>
  <c r="L1100" i="7"/>
  <c r="L1102" i="7"/>
  <c r="L1109" i="7"/>
  <c r="L1108" i="7" s="1"/>
  <c r="L1118" i="7"/>
  <c r="L1121" i="7"/>
  <c r="L1123" i="7"/>
  <c r="L1127" i="7"/>
  <c r="L1126" i="7" s="1"/>
  <c r="L1125" i="7" s="1"/>
  <c r="L1129" i="7"/>
  <c r="L1128" i="7" s="1"/>
  <c r="L1132" i="7"/>
  <c r="L1131" i="7" s="1"/>
  <c r="L1136" i="7"/>
  <c r="L1135" i="7" s="1"/>
  <c r="L1143" i="7"/>
  <c r="L1142" i="7" s="1"/>
  <c r="L1141" i="7" s="1"/>
  <c r="L1149" i="7"/>
  <c r="L1148" i="7" s="1"/>
  <c r="L1147" i="7" s="1"/>
  <c r="L1158" i="7"/>
  <c r="L1157" i="7" s="1"/>
  <c r="L1156" i="7" s="1"/>
  <c r="L1162" i="7"/>
  <c r="L1161" i="7" s="1"/>
  <c r="L1169" i="7"/>
  <c r="L1175" i="7"/>
  <c r="L1177" i="7"/>
  <c r="L1179" i="7"/>
  <c r="L1185" i="7"/>
  <c r="L1187" i="7"/>
  <c r="L1189" i="7"/>
  <c r="L1193" i="7"/>
  <c r="L1196" i="7"/>
  <c r="M22" i="7"/>
  <c r="M25" i="7"/>
  <c r="M34" i="7"/>
  <c r="M40" i="7"/>
  <c r="M45" i="7"/>
  <c r="M53" i="7"/>
  <c r="M56" i="7"/>
  <c r="M57" i="7"/>
  <c r="M59" i="7"/>
  <c r="M60" i="7"/>
  <c r="M63" i="7"/>
  <c r="M68" i="7"/>
  <c r="M69" i="7"/>
  <c r="M74" i="7"/>
  <c r="M79" i="7"/>
  <c r="M92" i="7"/>
  <c r="M96" i="7"/>
  <c r="M98" i="7"/>
  <c r="M103" i="7"/>
  <c r="M112" i="7"/>
  <c r="M117" i="7"/>
  <c r="M122" i="7"/>
  <c r="M132" i="7"/>
  <c r="M154" i="7"/>
  <c r="M168" i="7"/>
  <c r="M172" i="7"/>
  <c r="M206" i="7"/>
  <c r="M240" i="7"/>
  <c r="M258" i="7"/>
  <c r="M270" i="7"/>
  <c r="M283" i="7"/>
  <c r="M285" i="7"/>
  <c r="M289" i="7"/>
  <c r="M309" i="7"/>
  <c r="M323" i="7"/>
  <c r="M337" i="7"/>
  <c r="M383" i="7"/>
  <c r="M390" i="7"/>
  <c r="M392" i="7"/>
  <c r="M399" i="7"/>
  <c r="M413" i="7"/>
  <c r="M420" i="7"/>
  <c r="M439" i="7"/>
  <c r="M440" i="7"/>
  <c r="M443" i="7"/>
  <c r="M444" i="7"/>
  <c r="M447" i="7"/>
  <c r="M448" i="7"/>
  <c r="M453" i="7"/>
  <c r="M454" i="7"/>
  <c r="M462" i="7"/>
  <c r="M464" i="7"/>
  <c r="M469" i="7"/>
  <c r="M470" i="7"/>
  <c r="M473" i="7"/>
  <c r="M474" i="7"/>
  <c r="M477" i="7"/>
  <c r="M483" i="7"/>
  <c r="M487" i="7"/>
  <c r="M490" i="7"/>
  <c r="M491" i="7"/>
  <c r="M494" i="7"/>
  <c r="M501" i="7"/>
  <c r="M541" i="7"/>
  <c r="M556" i="7"/>
  <c r="M558" i="7"/>
  <c r="M564" i="7"/>
  <c r="M566" i="7"/>
  <c r="M581" i="7"/>
  <c r="M583" i="7"/>
  <c r="M593" i="7"/>
  <c r="M600" i="7"/>
  <c r="M609" i="7"/>
  <c r="M616" i="7"/>
  <c r="M618" i="7"/>
  <c r="M631" i="7"/>
  <c r="M641" i="7"/>
  <c r="M658" i="7"/>
  <c r="M662" i="7"/>
  <c r="M698" i="7"/>
  <c r="M701" i="7"/>
  <c r="M708" i="7"/>
  <c r="M713" i="7"/>
  <c r="M726" i="7"/>
  <c r="M734" i="7"/>
  <c r="M749" i="7"/>
  <c r="M764" i="7"/>
  <c r="M770" i="7"/>
  <c r="M772" i="7"/>
  <c r="M776" i="7"/>
  <c r="M777" i="7"/>
  <c r="M781" i="7"/>
  <c r="M793" i="7"/>
  <c r="M801" i="7"/>
  <c r="M815" i="7"/>
  <c r="M829" i="7"/>
  <c r="M857" i="7"/>
  <c r="M865" i="7"/>
  <c r="M877" i="7"/>
  <c r="M879" i="7"/>
  <c r="M883" i="7"/>
  <c r="M887" i="7"/>
  <c r="M898" i="7"/>
  <c r="M908" i="7"/>
  <c r="M916" i="7"/>
  <c r="M931" i="7"/>
  <c r="M937" i="7"/>
  <c r="M941" i="7"/>
  <c r="M946" i="7"/>
  <c r="M964" i="7"/>
  <c r="M971" i="7"/>
  <c r="M991" i="7"/>
  <c r="M1003" i="7"/>
  <c r="M1018" i="7"/>
  <c r="M1026" i="7"/>
  <c r="M1028" i="7"/>
  <c r="M1034" i="7"/>
  <c r="M1041" i="7"/>
  <c r="M1055" i="7"/>
  <c r="M1063" i="7"/>
  <c r="M1068" i="7"/>
  <c r="M1073" i="7"/>
  <c r="M1085" i="7"/>
  <c r="M1087" i="7"/>
  <c r="M1097" i="7"/>
  <c r="M1101" i="7"/>
  <c r="M1103" i="7"/>
  <c r="M1110" i="7"/>
  <c r="M1120" i="7"/>
  <c r="M1122" i="7"/>
  <c r="M1124" i="7"/>
  <c r="M1130" i="7"/>
  <c r="M1133" i="7"/>
  <c r="M1134" i="7"/>
  <c r="M1150" i="7"/>
  <c r="M1178" i="7"/>
  <c r="M1180" i="7"/>
  <c r="M1186" i="7"/>
  <c r="M1188" i="7"/>
  <c r="M1190" i="7"/>
  <c r="M1191" i="7"/>
  <c r="L984" i="7" l="1"/>
  <c r="L933" i="7"/>
  <c r="L981" i="7"/>
  <c r="L813" i="7"/>
  <c r="L654" i="7"/>
  <c r="L614" i="7"/>
  <c r="L570" i="7"/>
  <c r="L1082" i="7"/>
  <c r="L1081" i="7" s="1"/>
  <c r="L1080" i="7" s="1"/>
  <c r="L455" i="7"/>
  <c r="L511" i="7"/>
  <c r="L1173" i="7"/>
  <c r="L517" i="7"/>
  <c r="L516" i="7" s="1"/>
  <c r="L340" i="7"/>
  <c r="L730" i="7"/>
  <c r="L436" i="7"/>
  <c r="L704" i="7"/>
  <c r="L703" i="7" s="1"/>
  <c r="L702" i="7" s="1"/>
  <c r="L554" i="7"/>
  <c r="L553" i="7" s="1"/>
  <c r="L552" i="7" s="1"/>
  <c r="L921" i="7"/>
  <c r="L920" i="7" s="1"/>
  <c r="M459" i="7"/>
  <c r="L1060" i="7"/>
  <c r="L1059" i="7" s="1"/>
  <c r="M271" i="7"/>
  <c r="L574" i="7"/>
  <c r="L664" i="7"/>
  <c r="L663" i="7" s="1"/>
  <c r="L927" i="7"/>
  <c r="L926" i="7" s="1"/>
  <c r="L622" i="7"/>
  <c r="L1171" i="7"/>
  <c r="L881" i="7"/>
  <c r="L880" i="7" s="1"/>
  <c r="L831" i="7"/>
  <c r="L827" i="7" s="1"/>
  <c r="L826" i="7" s="1"/>
  <c r="L825" i="7" s="1"/>
  <c r="L913" i="7"/>
  <c r="L912" i="7" s="1"/>
  <c r="L1168" i="7"/>
  <c r="L1094" i="7"/>
  <c r="L1093" i="7" s="1"/>
  <c r="L875" i="7"/>
  <c r="L874" i="7" s="1"/>
  <c r="L1000" i="7"/>
  <c r="L999" i="7" s="1"/>
  <c r="L64" i="7"/>
  <c r="L61" i="7" s="1"/>
  <c r="L480" i="7"/>
  <c r="L1117" i="7"/>
  <c r="L1116" i="7" s="1"/>
  <c r="L844" i="7"/>
  <c r="L843" i="7" s="1"/>
  <c r="L397" i="7"/>
  <c r="L396" i="7" s="1"/>
  <c r="L105" i="7"/>
  <c r="L735" i="7"/>
  <c r="L1014" i="7"/>
  <c r="L1013" i="7" s="1"/>
  <c r="L521" i="7"/>
  <c r="L520" i="7" s="1"/>
  <c r="L333" i="7"/>
  <c r="L900" i="7"/>
  <c r="L899" i="7" s="1"/>
  <c r="L870" i="7"/>
  <c r="L869" i="7" s="1"/>
  <c r="L590" i="7"/>
  <c r="L589" i="7" s="1"/>
  <c r="L47" i="7"/>
  <c r="L83" i="7"/>
  <c r="L82" i="7" s="1"/>
  <c r="L752" i="7"/>
  <c r="L751" i="7" s="1"/>
  <c r="L619" i="7"/>
  <c r="L75" i="7"/>
  <c r="L356" i="7"/>
  <c r="L355" i="7" s="1"/>
  <c r="L109" i="7"/>
  <c r="L108" i="7" s="1"/>
  <c r="L203" i="7"/>
  <c r="L202" i="7" s="1"/>
  <c r="L1107" i="7"/>
  <c r="L1106" i="7" s="1"/>
  <c r="L1064" i="7"/>
  <c r="L710" i="7"/>
  <c r="L546" i="7"/>
  <c r="L545" i="7" s="1"/>
  <c r="L197" i="7"/>
  <c r="L196" i="7" s="1"/>
  <c r="L949" i="7"/>
  <c r="L948" i="7" s="1"/>
  <c r="L145" i="7"/>
  <c r="L100" i="7"/>
  <c r="L256" i="7"/>
  <c r="L255" i="7" s="1"/>
  <c r="L790" i="7"/>
  <c r="L214" i="7"/>
  <c r="L644" i="7"/>
  <c r="L484" i="7"/>
  <c r="L139" i="7"/>
  <c r="L1023" i="7"/>
  <c r="L1022" i="7" s="1"/>
  <c r="L782" i="7"/>
  <c r="L738" i="7"/>
  <c r="L314" i="7"/>
  <c r="L313" i="7" s="1"/>
  <c r="L312" i="7" s="1"/>
  <c r="L94" i="7"/>
  <c r="L577" i="7"/>
  <c r="L37" i="7"/>
  <c r="L36" i="7" s="1"/>
  <c r="L30" i="7"/>
  <c r="L20" i="7"/>
  <c r="L719" i="7"/>
  <c r="L715" i="7"/>
  <c r="L633" i="7"/>
  <c r="L71" i="7"/>
  <c r="L305" i="7"/>
  <c r="L293" i="7"/>
  <c r="L208" i="7"/>
  <c r="L410" i="7"/>
  <c r="L320" i="7"/>
  <c r="L267" i="7"/>
  <c r="L266" i="7" s="1"/>
  <c r="L682" i="7"/>
  <c r="L525" i="7"/>
  <c r="L488" i="7"/>
  <c r="L364" i="7"/>
  <c r="L176" i="7"/>
  <c r="L151" i="7"/>
  <c r="L606" i="7"/>
  <c r="L386" i="7"/>
  <c r="L287" i="7"/>
  <c r="L236" i="7"/>
  <c r="L131" i="7"/>
  <c r="L89" i="7"/>
  <c r="L677" i="7"/>
  <c r="L567" i="7"/>
  <c r="L638" i="7"/>
  <c r="L537" i="7"/>
  <c r="L427" i="7"/>
  <c r="L404" i="7"/>
  <c r="L190" i="7"/>
  <c r="L165" i="7"/>
  <c r="L533" i="7"/>
  <c r="L497" i="7"/>
  <c r="L380" i="7"/>
  <c r="L187" i="7"/>
  <c r="L124" i="7"/>
  <c r="L514" i="7"/>
  <c r="L350" i="7"/>
  <c r="L232" i="7"/>
  <c r="L142" i="7"/>
  <c r="L372" i="7"/>
  <c r="L252" i="7"/>
  <c r="L230" i="7"/>
  <c r="L594" i="7"/>
  <c r="L180" i="7"/>
  <c r="L115" i="7"/>
  <c r="L344" i="7"/>
  <c r="L299" i="7"/>
  <c r="L223" i="7"/>
  <c r="L224" i="7"/>
  <c r="L158" i="7"/>
  <c r="L466" i="7"/>
  <c r="L418" i="7"/>
  <c r="L328" i="7"/>
  <c r="L275" i="7"/>
  <c r="L247" i="7"/>
  <c r="L120" i="7"/>
  <c r="L281" i="7"/>
  <c r="L1006" i="7"/>
  <c r="L836" i="7"/>
  <c r="L761" i="7"/>
  <c r="L1146" i="7"/>
  <c r="L1075" i="7"/>
  <c r="L1045" i="7"/>
  <c r="L756" i="7"/>
  <c r="L1070" i="7"/>
  <c r="L1038" i="7"/>
  <c r="L976" i="7"/>
  <c r="L1031" i="7"/>
  <c r="L905" i="7"/>
  <c r="L967" i="7"/>
  <c r="L745" i="7"/>
  <c r="L960" i="7"/>
  <c r="L895" i="7"/>
  <c r="L822" i="7"/>
  <c r="L1160" i="7"/>
  <c r="L953" i="7"/>
  <c r="L862" i="7"/>
  <c r="L1155" i="7"/>
  <c r="L852" i="7"/>
  <c r="L774" i="7"/>
  <c r="L1010" i="7"/>
  <c r="L943" i="7"/>
  <c r="L889" i="7"/>
  <c r="L888" i="7" s="1"/>
  <c r="L768" i="7"/>
  <c r="L1052" i="7"/>
  <c r="L856" i="7"/>
  <c r="L807" i="7"/>
  <c r="L794" i="7"/>
  <c r="L1195" i="7"/>
  <c r="L1192" i="7"/>
  <c r="L1058" i="7" l="1"/>
  <c r="L339" i="7"/>
  <c r="L338" i="7" s="1"/>
  <c r="L573" i="7"/>
  <c r="L1167" i="7"/>
  <c r="L1166" i="7" s="1"/>
  <c r="L613" i="7"/>
  <c r="L612" i="7" s="1"/>
  <c r="L709" i="7"/>
  <c r="L213" i="7"/>
  <c r="L46" i="7"/>
  <c r="L138" i="7"/>
  <c r="L643" i="7"/>
  <c r="L729" i="7"/>
  <c r="L29" i="7"/>
  <c r="L19" i="7"/>
  <c r="L435" i="7"/>
  <c r="L327" i="7"/>
  <c r="L395" i="7"/>
  <c r="L235" i="7"/>
  <c r="L632" i="7"/>
  <c r="L298" i="7"/>
  <c r="L123" i="7"/>
  <c r="L280" i="7"/>
  <c r="L417" i="7"/>
  <c r="L81" i="7"/>
  <c r="L186" i="7"/>
  <c r="L354" i="7"/>
  <c r="L536" i="7"/>
  <c r="L104" i="7"/>
  <c r="L99" i="7" s="1"/>
  <c r="L286" i="7"/>
  <c r="L319" i="7"/>
  <c r="L274" i="7"/>
  <c r="L292" i="7"/>
  <c r="L465" i="7"/>
  <c r="L424" i="7"/>
  <c r="L714" i="7"/>
  <c r="L379" i="7"/>
  <c r="L524" i="7"/>
  <c r="L409" i="7"/>
  <c r="L304" i="7"/>
  <c r="L496" i="7"/>
  <c r="L164" i="7"/>
  <c r="L637" i="7"/>
  <c r="L562" i="7"/>
  <c r="L588" i="7"/>
  <c r="L551" i="7"/>
  <c r="L114" i="7"/>
  <c r="L605" i="7"/>
  <c r="L670" i="7"/>
  <c r="L229" i="7"/>
  <c r="L349" i="7"/>
  <c r="L157" i="7"/>
  <c r="L88" i="7"/>
  <c r="L544" i="7"/>
  <c r="L207" i="7"/>
  <c r="L251" i="7"/>
  <c r="L532" i="7"/>
  <c r="L189" i="7"/>
  <c r="L679" i="7"/>
  <c r="L150" i="7"/>
  <c r="L479" i="7"/>
  <c r="L119" i="7"/>
  <c r="L179" i="7"/>
  <c r="L311" i="7"/>
  <c r="L130" i="7"/>
  <c r="L175" i="7"/>
  <c r="L510" i="7"/>
  <c r="L246" i="7"/>
  <c r="L222" i="7"/>
  <c r="L371" i="7"/>
  <c r="L403" i="7"/>
  <c r="L195" i="7"/>
  <c r="L363" i="7"/>
  <c r="L70" i="7"/>
  <c r="L894" i="7"/>
  <c r="L861" i="7"/>
  <c r="L959" i="7"/>
  <c r="L919" i="7"/>
  <c r="L942" i="7"/>
  <c r="L744" i="7"/>
  <c r="L1115" i="7"/>
  <c r="L1159" i="7"/>
  <c r="L1154" i="7" s="1"/>
  <c r="L975" i="7"/>
  <c r="L1037" i="7"/>
  <c r="L806" i="7"/>
  <c r="L1105" i="7"/>
  <c r="L842" i="7"/>
  <c r="L980" i="7"/>
  <c r="L760" i="7"/>
  <c r="L1009" i="7"/>
  <c r="L821" i="7"/>
  <c r="L904" i="7"/>
  <c r="L998" i="7"/>
  <c r="L835" i="7"/>
  <c r="L1184" i="7"/>
  <c r="L868" i="7"/>
  <c r="L1092" i="7"/>
  <c r="L1021" i="7"/>
  <c r="L1030" i="7"/>
  <c r="L1044" i="7"/>
  <c r="L1079" i="7"/>
  <c r="L932" i="7"/>
  <c r="L1140" i="7"/>
  <c r="L755" i="7"/>
  <c r="L789" i="7"/>
  <c r="L1051" i="7"/>
  <c r="L1005" i="7"/>
  <c r="L1074" i="7"/>
  <c r="L855" i="7"/>
  <c r="L952" i="7"/>
  <c r="L966" i="7"/>
  <c r="L911" i="7"/>
  <c r="L1145" i="7"/>
  <c r="K161" i="7"/>
  <c r="M161" i="7" s="1"/>
  <c r="L561" i="7" l="1"/>
  <c r="L560" i="7" s="1"/>
  <c r="L212" i="7"/>
  <c r="L728" i="7"/>
  <c r="L137" i="7"/>
  <c r="L642" i="7"/>
  <c r="L611" i="7" s="1"/>
  <c r="L28" i="7"/>
  <c r="L18" i="7"/>
  <c r="L149" i="7"/>
  <c r="L543" i="7"/>
  <c r="L653" i="7"/>
  <c r="L35" i="7"/>
  <c r="L303" i="7"/>
  <c r="L318" i="7"/>
  <c r="L408" i="7"/>
  <c r="L174" i="7"/>
  <c r="L87" i="7"/>
  <c r="L194" i="7"/>
  <c r="L604" i="7"/>
  <c r="L423" i="7"/>
  <c r="L129" i="7"/>
  <c r="L402" i="7"/>
  <c r="L156" i="7"/>
  <c r="L416" i="7"/>
  <c r="L332" i="7"/>
  <c r="L310" i="7"/>
  <c r="L531" i="7"/>
  <c r="L113" i="7"/>
  <c r="L163" i="7"/>
  <c r="L370" i="7"/>
  <c r="L291" i="7"/>
  <c r="L535" i="7"/>
  <c r="L279" i="7"/>
  <c r="L394" i="7"/>
  <c r="L362" i="7"/>
  <c r="L250" i="7"/>
  <c r="L348" i="7"/>
  <c r="L495" i="7"/>
  <c r="L378" i="7"/>
  <c r="L353" i="7"/>
  <c r="L326" i="7"/>
  <c r="L221" i="7"/>
  <c r="L245" i="7"/>
  <c r="L118" i="7"/>
  <c r="L201" i="7"/>
  <c r="L228" i="7"/>
  <c r="L587" i="7"/>
  <c r="L506" i="7"/>
  <c r="L265" i="7"/>
  <c r="L478" i="7"/>
  <c r="L273" i="7"/>
  <c r="L185" i="7"/>
  <c r="L297" i="7"/>
  <c r="L947" i="7"/>
  <c r="L1057" i="7"/>
  <c r="L1043" i="7"/>
  <c r="L834" i="7"/>
  <c r="L1050" i="7"/>
  <c r="L1144" i="7"/>
  <c r="L750" i="7"/>
  <c r="L1036" i="7"/>
  <c r="L873" i="7"/>
  <c r="L867" i="7" s="1"/>
  <c r="L1029" i="7"/>
  <c r="L979" i="7"/>
  <c r="L974" i="7"/>
  <c r="L767" i="7"/>
  <c r="L1020" i="7"/>
  <c r="L903" i="7"/>
  <c r="L759" i="7"/>
  <c r="L1069" i="7"/>
  <c r="L918" i="7"/>
  <c r="L1139" i="7"/>
  <c r="L820" i="7"/>
  <c r="L841" i="7"/>
  <c r="L958" i="7"/>
  <c r="L965" i="7"/>
  <c r="L851" i="7"/>
  <c r="L1114" i="7"/>
  <c r="L1165" i="7"/>
  <c r="L1004" i="7"/>
  <c r="L1183" i="7"/>
  <c r="L1104" i="7"/>
  <c r="L860" i="7"/>
  <c r="L910" i="7"/>
  <c r="L1091" i="7"/>
  <c r="L1078" i="7"/>
  <c r="L743" i="7"/>
  <c r="M277" i="7"/>
  <c r="L434" i="7" l="1"/>
  <c r="L433" i="7" s="1"/>
  <c r="L727" i="7"/>
  <c r="L17" i="7"/>
  <c r="L264" i="7"/>
  <c r="L220" i="7"/>
  <c r="L530" i="7"/>
  <c r="L128" i="7"/>
  <c r="L86" i="7"/>
  <c r="L325" i="7"/>
  <c r="L347" i="7"/>
  <c r="L331" i="7" s="1"/>
  <c r="L290" i="7"/>
  <c r="L505" i="7"/>
  <c r="L249" i="7"/>
  <c r="L422" i="7"/>
  <c r="L361" i="7"/>
  <c r="L415" i="7"/>
  <c r="L652" i="7"/>
  <c r="L651" i="7" s="1"/>
  <c r="L227" i="7"/>
  <c r="L603" i="7"/>
  <c r="L244" i="7"/>
  <c r="L155" i="7"/>
  <c r="L193" i="7"/>
  <c r="L200" i="7"/>
  <c r="L377" i="7"/>
  <c r="L393" i="7"/>
  <c r="L542" i="7"/>
  <c r="L369" i="7"/>
  <c r="L184" i="7"/>
  <c r="L278" i="7"/>
  <c r="L559" i="7"/>
  <c r="L1113" i="7"/>
  <c r="L1019" i="7"/>
  <c r="L850" i="7"/>
  <c r="L766" i="7"/>
  <c r="L859" i="7"/>
  <c r="L1153" i="7"/>
  <c r="L973" i="7"/>
  <c r="L866" i="7"/>
  <c r="L917" i="7"/>
  <c r="L1138" i="7"/>
  <c r="L1182" i="7"/>
  <c r="L1042" i="7"/>
  <c r="L1056" i="7"/>
  <c r="L957" i="7"/>
  <c r="L1090" i="7"/>
  <c r="L1164" i="7"/>
  <c r="L840" i="7"/>
  <c r="K576" i="7"/>
  <c r="M576" i="7" s="1"/>
  <c r="L173" i="7" l="1"/>
  <c r="L16" i="7"/>
  <c r="L602" i="7"/>
  <c r="L504" i="7"/>
  <c r="L80" i="7"/>
  <c r="L432" i="7"/>
  <c r="L431" i="7" s="1"/>
  <c r="L421" i="7"/>
  <c r="L226" i="7"/>
  <c r="L550" i="7"/>
  <c r="L529" i="7"/>
  <c r="L360" i="7"/>
  <c r="L376" i="7"/>
  <c r="L368" i="7"/>
  <c r="L243" i="7"/>
  <c r="L263" i="7"/>
  <c r="L324" i="7"/>
  <c r="L1112" i="7"/>
  <c r="L1152" i="7"/>
  <c r="L765" i="7"/>
  <c r="L839" i="7"/>
  <c r="L1049" i="7"/>
  <c r="L1181" i="7"/>
  <c r="L1163" i="7" s="1"/>
  <c r="L1089" i="7"/>
  <c r="L909" i="7"/>
  <c r="L849" i="7"/>
  <c r="L972" i="7"/>
  <c r="K797" i="7"/>
  <c r="M797" i="7" s="1"/>
  <c r="K796" i="7"/>
  <c r="M796" i="7" s="1"/>
  <c r="K784" i="7"/>
  <c r="M784" i="7" s="1"/>
  <c r="M758" i="7"/>
  <c r="K646" i="7"/>
  <c r="M646" i="7" s="1"/>
  <c r="M672" i="7"/>
  <c r="M624" i="7"/>
  <c r="K795" i="7"/>
  <c r="M795" i="7" s="1"/>
  <c r="M1099" i="7"/>
  <c r="M1061" i="7"/>
  <c r="K381" i="7"/>
  <c r="M381" i="7" s="1"/>
  <c r="L162" i="7" l="1"/>
  <c r="L27" i="7"/>
  <c r="L317" i="7"/>
  <c r="L262" i="7" s="1"/>
  <c r="L330" i="7"/>
  <c r="L375" i="7"/>
  <c r="L549" i="7"/>
  <c r="L414" i="7"/>
  <c r="L528" i="7"/>
  <c r="L503" i="7"/>
  <c r="L219" i="7"/>
  <c r="L610" i="7"/>
  <c r="L956" i="7"/>
  <c r="L1111" i="7"/>
  <c r="L1035" i="7"/>
  <c r="L1151" i="7"/>
  <c r="L1088" i="7"/>
  <c r="L848" i="7"/>
  <c r="K366" i="7"/>
  <c r="M366" i="7" s="1"/>
  <c r="K359" i="7"/>
  <c r="M359" i="7" s="1"/>
  <c r="K352" i="7"/>
  <c r="M352" i="7" s="1"/>
  <c r="K343" i="7"/>
  <c r="M343" i="7" s="1"/>
  <c r="K346" i="7"/>
  <c r="M346" i="7" s="1"/>
  <c r="M342" i="7"/>
  <c r="K345" i="7"/>
  <c r="M345" i="7" s="1"/>
  <c r="M341" i="7"/>
  <c r="K586" i="7"/>
  <c r="M586" i="7" s="1"/>
  <c r="K515" i="7"/>
  <c r="M515" i="7" s="1"/>
  <c r="K512" i="7"/>
  <c r="M512" i="7" s="1"/>
  <c r="K509" i="7"/>
  <c r="M509" i="7" s="1"/>
  <c r="K683" i="7"/>
  <c r="M683" i="7" s="1"/>
  <c r="M740" i="7"/>
  <c r="K1196" i="7"/>
  <c r="M1196" i="7" s="1"/>
  <c r="K1187" i="7"/>
  <c r="M1187" i="7" s="1"/>
  <c r="K1185" i="7"/>
  <c r="M1185" i="7" s="1"/>
  <c r="L502" i="7" l="1"/>
  <c r="L601" i="7"/>
  <c r="L367" i="7"/>
  <c r="L26" i="7"/>
  <c r="L847" i="7"/>
  <c r="K571" i="7"/>
  <c r="M571" i="7" s="1"/>
  <c r="K563" i="7"/>
  <c r="M563" i="7" s="1"/>
  <c r="M260" i="7"/>
  <c r="K257" i="7"/>
  <c r="M257" i="7" s="1"/>
  <c r="M144" i="7"/>
  <c r="K90" i="7"/>
  <c r="M90" i="7" s="1"/>
  <c r="K65" i="7"/>
  <c r="M65" i="7" s="1"/>
  <c r="K62" i="7"/>
  <c r="M62" i="7" s="1"/>
  <c r="K54" i="7"/>
  <c r="K1095" i="7"/>
  <c r="M1095" i="7" s="1"/>
  <c r="K1024" i="7"/>
  <c r="M1024" i="7" s="1"/>
  <c r="K922" i="7"/>
  <c r="M922" i="7" s="1"/>
  <c r="K791" i="7"/>
  <c r="M791" i="7" s="1"/>
  <c r="K33" i="7"/>
  <c r="M33" i="7" s="1"/>
  <c r="K1084" i="7"/>
  <c r="M1084" i="7" s="1"/>
  <c r="K742" i="7"/>
  <c r="M742" i="7" s="1"/>
  <c r="K681" i="7"/>
  <c r="M681" i="7" s="1"/>
  <c r="K518" i="7"/>
  <c r="M518" i="7" s="1"/>
  <c r="K513" i="7"/>
  <c r="M513" i="7" s="1"/>
  <c r="K1197" i="7"/>
  <c r="M1197" i="7" s="1"/>
  <c r="M572" i="7"/>
  <c r="M261" i="7"/>
  <c r="K254" i="7"/>
  <c r="M254" i="7" s="1"/>
  <c r="K192" i="7"/>
  <c r="M192" i="7" s="1"/>
  <c r="M188" i="7"/>
  <c r="K136" i="7"/>
  <c r="M136" i="7" s="1"/>
  <c r="K133" i="7"/>
  <c r="M133" i="7" s="1"/>
  <c r="K107" i="7"/>
  <c r="K93" i="7"/>
  <c r="M93" i="7" s="1"/>
  <c r="K91" i="7"/>
  <c r="M91" i="7" s="1"/>
  <c r="K66" i="7"/>
  <c r="M66" i="7" s="1"/>
  <c r="K1119" i="7"/>
  <c r="M1119" i="7" s="1"/>
  <c r="K1118" i="7"/>
  <c r="M1118" i="7" s="1"/>
  <c r="K1096" i="7"/>
  <c r="M1096" i="7" s="1"/>
  <c r="M1083" i="7"/>
  <c r="K923" i="7"/>
  <c r="M923" i="7" s="1"/>
  <c r="M575" i="7"/>
  <c r="M458" i="7"/>
  <c r="K457" i="7"/>
  <c r="M457" i="7" s="1"/>
  <c r="M388" i="7"/>
  <c r="M268" i="7"/>
  <c r="M141" i="7"/>
  <c r="M140" i="7"/>
  <c r="K51" i="7"/>
  <c r="M51" i="7" s="1"/>
  <c r="K50" i="7"/>
  <c r="M50" i="7" s="1"/>
  <c r="K32" i="7"/>
  <c r="M32" i="7" s="1"/>
  <c r="M107" i="7" l="1"/>
  <c r="K106" i="7"/>
  <c r="M49" i="7"/>
  <c r="K48" i="7"/>
  <c r="K52" i="7"/>
  <c r="M52" i="7" s="1"/>
  <c r="M54" i="7"/>
  <c r="L15" i="7"/>
  <c r="K1162" i="7"/>
  <c r="M1162" i="7" s="1"/>
  <c r="K582" i="7"/>
  <c r="M582" i="7" s="1"/>
  <c r="K754" i="7" l="1"/>
  <c r="M754" i="7" s="1"/>
  <c r="M978" i="7"/>
  <c r="M706" i="7"/>
  <c r="K636" i="7"/>
  <c r="M636" i="7" s="1"/>
  <c r="K674" i="7" l="1"/>
  <c r="M674" i="7" s="1"/>
  <c r="K626" i="7"/>
  <c r="M626" i="7" s="1"/>
  <c r="K579" i="7" l="1"/>
  <c r="M579" i="7" s="1"/>
  <c r="K199" i="7"/>
  <c r="M199" i="7" s="1"/>
  <c r="K127" i="7" l="1"/>
  <c r="M127" i="7" s="1"/>
  <c r="K786" i="7"/>
  <c r="M786" i="7" s="1"/>
  <c r="K527" i="7"/>
  <c r="M527" i="7" s="1"/>
  <c r="M102" i="7" l="1"/>
  <c r="K225" i="7"/>
  <c r="M225" i="7" s="1"/>
  <c r="M691" i="7" l="1"/>
  <c r="K178" i="7" l="1"/>
  <c r="M178" i="7" s="1"/>
  <c r="K955" i="7"/>
  <c r="M955" i="7" s="1"/>
  <c r="M925" i="7"/>
  <c r="K929" i="7"/>
  <c r="M929" i="7" s="1"/>
  <c r="K915" i="7"/>
  <c r="K914" i="7" s="1"/>
  <c r="K885" i="7"/>
  <c r="M885" i="7" s="1"/>
  <c r="M915" i="7" l="1"/>
  <c r="K426" i="7"/>
  <c r="M426" i="7" s="1"/>
  <c r="K428" i="7"/>
  <c r="M428" i="7" s="1"/>
  <c r="K407" i="7"/>
  <c r="M407" i="7" s="1"/>
  <c r="M401" i="7"/>
  <c r="K1193" i="7" l="1"/>
  <c r="M1193" i="7" s="1"/>
  <c r="K1194" i="7"/>
  <c r="M1194" i="7" s="1"/>
  <c r="K1174" i="7"/>
  <c r="M1174" i="7" s="1"/>
  <c r="K1170" i="7"/>
  <c r="M1170" i="7" s="1"/>
  <c r="K1176" i="7"/>
  <c r="M1176" i="7" s="1"/>
  <c r="K1172" i="7"/>
  <c r="M1172" i="7" s="1"/>
  <c r="M482" i="7" l="1"/>
  <c r="K833" i="7" l="1"/>
  <c r="M833" i="7" s="1"/>
  <c r="K832" i="7"/>
  <c r="M832" i="7" s="1"/>
  <c r="K665" i="7"/>
  <c r="M665" i="7" s="1"/>
  <c r="K148" i="7"/>
  <c r="M148" i="7" s="1"/>
  <c r="K39" i="7" l="1"/>
  <c r="K218" i="7"/>
  <c r="M218" i="7" s="1"/>
  <c r="K38" i="7" l="1"/>
  <c r="M39" i="7"/>
  <c r="K385" i="7"/>
  <c r="M385" i="7" s="1"/>
  <c r="K858" i="7"/>
  <c r="M858" i="7" s="1"/>
  <c r="K854" i="7"/>
  <c r="M854" i="7" s="1"/>
  <c r="K1008" i="7"/>
  <c r="M1008" i="7" s="1"/>
  <c r="K983" i="7"/>
  <c r="M983" i="7" s="1"/>
  <c r="M302" i="7"/>
  <c r="K1066" i="7"/>
  <c r="M1066" i="7" s="1"/>
  <c r="K695" i="7"/>
  <c r="M695" i="7" s="1"/>
  <c r="K37" i="7" l="1"/>
  <c r="M38" i="7"/>
  <c r="K747" i="7"/>
  <c r="M747" i="7" s="1"/>
  <c r="K36" i="7" l="1"/>
  <c r="M36" i="7" s="1"/>
  <c r="M37" i="7"/>
  <c r="K329" i="7"/>
  <c r="M329" i="7" s="1"/>
  <c r="K928" i="7"/>
  <c r="M928" i="7" s="1"/>
  <c r="K722" i="7"/>
  <c r="M722" i="7" s="1"/>
  <c r="K718" i="7"/>
  <c r="M718" i="7" s="1"/>
  <c r="K234" i="7"/>
  <c r="M234" i="7" s="1"/>
  <c r="K805" i="7" l="1"/>
  <c r="M805" i="7" s="1"/>
  <c r="K678" i="7"/>
  <c r="M678" i="7" s="1"/>
  <c r="K628" i="7"/>
  <c r="M628" i="7" s="1"/>
  <c r="K676" i="7"/>
  <c r="M676" i="7" s="1"/>
  <c r="K788" i="7"/>
  <c r="M788" i="7" s="1"/>
  <c r="K737" i="7"/>
  <c r="M737" i="7" s="1"/>
  <c r="K621" i="7"/>
  <c r="M621" i="7" s="1"/>
  <c r="K687" i="7"/>
  <c r="M687" i="7" s="1"/>
  <c r="K846" i="7"/>
  <c r="M846" i="7" s="1"/>
  <c r="K845" i="7"/>
  <c r="M845" i="7" s="1"/>
  <c r="K810" i="7"/>
  <c r="M810" i="7" s="1"/>
  <c r="K803" i="7"/>
  <c r="M803" i="7" s="1"/>
  <c r="K170" i="7"/>
  <c r="M170" i="7" s="1"/>
  <c r="K732" i="7" l="1"/>
  <c r="M732" i="7" s="1"/>
  <c r="K239" i="7"/>
  <c r="M239" i="7" s="1"/>
  <c r="K1143" i="7" l="1"/>
  <c r="M1143" i="7" s="1"/>
  <c r="K731" i="7" l="1"/>
  <c r="M731" i="7" s="1"/>
  <c r="K819" i="7" l="1"/>
  <c r="M819" i="7" s="1"/>
  <c r="K1025" i="7" l="1"/>
  <c r="M1025" i="7" s="1"/>
  <c r="K712" i="7" l="1"/>
  <c r="K640" i="7"/>
  <c r="K374" i="7"/>
  <c r="M374" i="7" s="1"/>
  <c r="K639" i="7" l="1"/>
  <c r="M640" i="7"/>
  <c r="K711" i="7"/>
  <c r="M712" i="7"/>
  <c r="K519" i="7"/>
  <c r="M519" i="7" s="1"/>
  <c r="K710" i="7" l="1"/>
  <c r="M711" i="7"/>
  <c r="K638" i="7"/>
  <c r="M639" i="7"/>
  <c r="K548" i="7"/>
  <c r="M548" i="7" s="1"/>
  <c r="K637" i="7" l="1"/>
  <c r="M637" i="7" s="1"/>
  <c r="M638" i="7"/>
  <c r="K709" i="7"/>
  <c r="M709" i="7" s="1"/>
  <c r="M710" i="7"/>
  <c r="K288" i="7"/>
  <c r="K287" i="7" l="1"/>
  <c r="K286" i="7" s="1"/>
  <c r="M288" i="7"/>
  <c r="K630" i="7"/>
  <c r="M211" i="7"/>
  <c r="K253" i="7"/>
  <c r="M630" i="7" l="1"/>
  <c r="K629" i="7"/>
  <c r="K252" i="7"/>
  <c r="M253" i="7"/>
  <c r="M286" i="7"/>
  <c r="M287" i="7"/>
  <c r="K1169" i="7"/>
  <c r="M1169" i="7" s="1"/>
  <c r="K1158" i="7"/>
  <c r="M1158" i="7" s="1"/>
  <c r="K251" i="7" l="1"/>
  <c r="M252" i="7"/>
  <c r="K997" i="7"/>
  <c r="M997" i="7" s="1"/>
  <c r="K250" i="7" l="1"/>
  <c r="M250" i="7" s="1"/>
  <c r="M251" i="7"/>
  <c r="K1142" i="7"/>
  <c r="K1141" i="7" l="1"/>
  <c r="M1142" i="7"/>
  <c r="K24" i="7"/>
  <c r="M24" i="7" s="1"/>
  <c r="K23" i="7"/>
  <c r="M23" i="7" s="1"/>
  <c r="K1140" i="7" l="1"/>
  <c r="M1141" i="7"/>
  <c r="K578" i="7"/>
  <c r="M578" i="7" s="1"/>
  <c r="K183" i="7"/>
  <c r="M183" i="7" s="1"/>
  <c r="K1139" i="7" l="1"/>
  <c r="M1140" i="7"/>
  <c r="K493" i="7"/>
  <c r="M493" i="7" s="1"/>
  <c r="M489" i="7"/>
  <c r="M485" i="7"/>
  <c r="K472" i="7"/>
  <c r="M472" i="7" s="1"/>
  <c r="M446" i="7"/>
  <c r="M442" i="7"/>
  <c r="K248" i="7"/>
  <c r="M248" i="7" s="1"/>
  <c r="K1138" i="7" l="1"/>
  <c r="M1138" i="7" s="1"/>
  <c r="M1139" i="7"/>
  <c r="K800" i="7"/>
  <c r="M800" i="7" s="1"/>
  <c r="K778" i="7" l="1"/>
  <c r="M778" i="7" s="1"/>
  <c r="K792" i="7" l="1"/>
  <c r="M792" i="7" s="1"/>
  <c r="K568" i="7" l="1"/>
  <c r="M568" i="7" s="1"/>
  <c r="K569" i="7"/>
  <c r="M569" i="7" s="1"/>
  <c r="K799" i="7" l="1"/>
  <c r="M799" i="7" s="1"/>
  <c r="K650" i="7" l="1"/>
  <c r="M650" i="7" s="1"/>
  <c r="K685" i="7"/>
  <c r="M685" i="7" s="1"/>
  <c r="K897" i="7"/>
  <c r="K902" i="7"/>
  <c r="M902" i="7" s="1"/>
  <c r="K896" i="7" l="1"/>
  <c r="M897" i="7"/>
  <c r="K656" i="7"/>
  <c r="M656" i="7" s="1"/>
  <c r="K895" i="7" l="1"/>
  <c r="M895" i="7" s="1"/>
  <c r="M896" i="7"/>
  <c r="M486" i="7" l="1"/>
  <c r="K1002" i="7" l="1"/>
  <c r="M1002" i="7" s="1"/>
  <c r="K1001" i="7"/>
  <c r="M1001" i="7" s="1"/>
  <c r="K316" i="7" l="1"/>
  <c r="M316" i="7" s="1"/>
  <c r="M106" i="7" l="1"/>
  <c r="K427" i="7" l="1"/>
  <c r="M427" i="7" s="1"/>
  <c r="K430" i="7"/>
  <c r="M430" i="7" s="1"/>
  <c r="K779" i="7" l="1"/>
  <c r="M779" i="7" s="1"/>
  <c r="M780" i="7"/>
  <c r="K882" i="7"/>
  <c r="M882" i="7" s="1"/>
  <c r="K693" i="7"/>
  <c r="M693" i="7" s="1"/>
  <c r="K783" i="7"/>
  <c r="M783" i="7" s="1"/>
  <c r="K121" i="7" l="1"/>
  <c r="K85" i="7"/>
  <c r="M85" i="7" s="1"/>
  <c r="K111" i="7"/>
  <c r="K233" i="7"/>
  <c r="K232" i="7" l="1"/>
  <c r="M232" i="7" s="1"/>
  <c r="M233" i="7"/>
  <c r="K110" i="7"/>
  <c r="M111" i="7"/>
  <c r="K120" i="7"/>
  <c r="M121" i="7"/>
  <c r="K989" i="7"/>
  <c r="M989" i="7" s="1"/>
  <c r="K993" i="7"/>
  <c r="M993" i="7" s="1"/>
  <c r="K992" i="7" l="1"/>
  <c r="M992" i="7" s="1"/>
  <c r="K109" i="7"/>
  <c r="M110" i="7"/>
  <c r="K119" i="7"/>
  <c r="M120" i="7"/>
  <c r="K1017" i="7"/>
  <c r="M1017" i="7" s="1"/>
  <c r="K987" i="7"/>
  <c r="M987" i="7" s="1"/>
  <c r="K935" i="7"/>
  <c r="M935" i="7" s="1"/>
  <c r="K301" i="7"/>
  <c r="K238" i="7"/>
  <c r="M238" i="7" s="1"/>
  <c r="K300" i="7" l="1"/>
  <c r="M301" i="7"/>
  <c r="K118" i="7"/>
  <c r="M118" i="7" s="1"/>
  <c r="M119" i="7"/>
  <c r="K108" i="7"/>
  <c r="M108" i="7" s="1"/>
  <c r="M109" i="7"/>
  <c r="K669" i="7"/>
  <c r="M669" i="7" s="1"/>
  <c r="K689" i="7"/>
  <c r="M689" i="7" s="1"/>
  <c r="K812" i="7"/>
  <c r="M812" i="7" s="1"/>
  <c r="K299" i="7" l="1"/>
  <c r="M300" i="7"/>
  <c r="K816" i="7"/>
  <c r="K891" i="7"/>
  <c r="M891" i="7" s="1"/>
  <c r="K814" i="7" l="1"/>
  <c r="M816" i="7"/>
  <c r="K298" i="7"/>
  <c r="M299" i="7"/>
  <c r="K1048" i="7"/>
  <c r="M1048" i="7" s="1"/>
  <c r="K297" i="7" l="1"/>
  <c r="M297" i="7" s="1"/>
  <c r="M298" i="7"/>
  <c r="K813" i="7"/>
  <c r="M813" i="7" s="1"/>
  <c r="M814" i="7"/>
  <c r="M1033" i="7"/>
  <c r="K1012" i="7" l="1"/>
  <c r="M1012" i="7" s="1"/>
  <c r="K1007" i="7"/>
  <c r="K1006" i="7" l="1"/>
  <c r="M1007" i="7"/>
  <c r="K872" i="7"/>
  <c r="M872" i="7" s="1"/>
  <c r="K1005" i="7" l="1"/>
  <c r="M1005" i="7" s="1"/>
  <c r="M1006" i="7"/>
  <c r="K1127" i="7"/>
  <c r="M1127" i="7" s="1"/>
  <c r="K808" i="7"/>
  <c r="M808" i="7" s="1"/>
  <c r="M481" i="7"/>
  <c r="M468" i="7"/>
  <c r="M438" i="7"/>
  <c r="K1137" i="7" l="1"/>
  <c r="M1137" i="7" s="1"/>
  <c r="K1062" i="7"/>
  <c r="M1062" i="7" s="1"/>
  <c r="M269" i="7"/>
  <c r="K205" i="7"/>
  <c r="K204" i="7" l="1"/>
  <c r="M205" i="7"/>
  <c r="K599" i="7"/>
  <c r="K217" i="7"/>
  <c r="K216" i="7" l="1"/>
  <c r="M217" i="7"/>
  <c r="K598" i="7"/>
  <c r="M599" i="7"/>
  <c r="K203" i="7"/>
  <c r="M204" i="7"/>
  <c r="K775" i="7"/>
  <c r="K893" i="7"/>
  <c r="M893" i="7" s="1"/>
  <c r="K830" i="7"/>
  <c r="M830" i="7" s="1"/>
  <c r="K774" i="7" l="1"/>
  <c r="M774" i="7" s="1"/>
  <c r="M775" i="7"/>
  <c r="K202" i="7"/>
  <c r="M202" i="7" s="1"/>
  <c r="M203" i="7"/>
  <c r="K597" i="7"/>
  <c r="M598" i="7"/>
  <c r="K215" i="7"/>
  <c r="M216" i="7"/>
  <c r="K892" i="7"/>
  <c r="M892" i="7" s="1"/>
  <c r="K214" i="7" l="1"/>
  <c r="M215" i="7"/>
  <c r="K596" i="7"/>
  <c r="M597" i="7"/>
  <c r="K237" i="7"/>
  <c r="M237" i="7" s="1"/>
  <c r="K595" i="7" l="1"/>
  <c r="M596" i="7"/>
  <c r="K213" i="7"/>
  <c r="M214" i="7"/>
  <c r="K1077" i="7"/>
  <c r="M1077" i="7" s="1"/>
  <c r="K212" i="7" l="1"/>
  <c r="M212" i="7" s="1"/>
  <c r="M213" i="7"/>
  <c r="K594" i="7"/>
  <c r="M594" i="7" s="1"/>
  <c r="M595" i="7"/>
  <c r="K963" i="7" l="1"/>
  <c r="M963" i="7" s="1"/>
  <c r="K986" i="7" l="1"/>
  <c r="M986" i="7" s="1"/>
  <c r="K871" i="7"/>
  <c r="K615" i="7"/>
  <c r="M615" i="7" s="1"/>
  <c r="K870" i="7" l="1"/>
  <c r="M871" i="7"/>
  <c r="K773" i="7"/>
  <c r="M773" i="7" s="1"/>
  <c r="K666" i="7"/>
  <c r="M666" i="7" s="1"/>
  <c r="K869" i="7" l="1"/>
  <c r="M870" i="7"/>
  <c r="K242" i="7"/>
  <c r="K131" i="7"/>
  <c r="M131" i="7" s="1"/>
  <c r="K241" i="7" l="1"/>
  <c r="M241" i="7" s="1"/>
  <c r="M242" i="7"/>
  <c r="K868" i="7"/>
  <c r="M868" i="7" s="1"/>
  <c r="M869" i="7"/>
  <c r="K236" i="7"/>
  <c r="K1016" i="7"/>
  <c r="M1016" i="7" s="1"/>
  <c r="K235" i="7" l="1"/>
  <c r="M235" i="7" s="1"/>
  <c r="M236" i="7"/>
  <c r="K746" i="7"/>
  <c r="M746" i="7" s="1"/>
  <c r="K995" i="7"/>
  <c r="M995" i="7" s="1"/>
  <c r="K1015" i="7" l="1"/>
  <c r="K398" i="7"/>
  <c r="M398" i="7" s="1"/>
  <c r="K1014" i="7" l="1"/>
  <c r="M1015" i="7"/>
  <c r="K182" i="7"/>
  <c r="K990" i="7"/>
  <c r="M990" i="7" s="1"/>
  <c r="K181" i="7" l="1"/>
  <c r="M182" i="7"/>
  <c r="K1013" i="7"/>
  <c r="M1013" i="7" s="1"/>
  <c r="M1014" i="7"/>
  <c r="K856" i="7"/>
  <c r="M856" i="7" s="1"/>
  <c r="K180" i="7" l="1"/>
  <c r="M181" i="7"/>
  <c r="K878" i="7"/>
  <c r="M878" i="7" s="1"/>
  <c r="K179" i="7" l="1"/>
  <c r="M179" i="7" s="1"/>
  <c r="M180" i="7"/>
  <c r="K1067" i="7"/>
  <c r="M1067" i="7" s="1"/>
  <c r="K748" i="7"/>
  <c r="K733" i="7"/>
  <c r="K707" i="7"/>
  <c r="M707" i="7" s="1"/>
  <c r="K657" i="7"/>
  <c r="M657" i="7" s="1"/>
  <c r="K617" i="7"/>
  <c r="K523" i="7"/>
  <c r="M523" i="7" s="1"/>
  <c r="K147" i="7"/>
  <c r="M617" i="7" l="1"/>
  <c r="K614" i="7"/>
  <c r="K146" i="7"/>
  <c r="M147" i="7"/>
  <c r="K730" i="7"/>
  <c r="M730" i="7" s="1"/>
  <c r="M733" i="7"/>
  <c r="K745" i="7"/>
  <c r="M745" i="7" s="1"/>
  <c r="M748" i="7"/>
  <c r="K1136" i="7"/>
  <c r="K855" i="7"/>
  <c r="M855" i="7" s="1"/>
  <c r="K744" i="7" l="1"/>
  <c r="K743" i="7" s="1"/>
  <c r="M743" i="7" s="1"/>
  <c r="K1135" i="7"/>
  <c r="M1135" i="7" s="1"/>
  <c r="M1136" i="7"/>
  <c r="M744" i="7"/>
  <c r="K145" i="7"/>
  <c r="M145" i="7" s="1"/>
  <c r="M146" i="7"/>
  <c r="K135" i="7"/>
  <c r="M135" i="7" s="1"/>
  <c r="K1132" i="7" l="1"/>
  <c r="M1132" i="7" s="1"/>
  <c r="K1040" i="7"/>
  <c r="K853" i="7"/>
  <c r="K130" i="7"/>
  <c r="M130" i="7" s="1"/>
  <c r="K1039" i="7" l="1"/>
  <c r="M1040" i="7"/>
  <c r="K852" i="7"/>
  <c r="M852" i="7" s="1"/>
  <c r="M853" i="7"/>
  <c r="K84" i="7"/>
  <c r="K996" i="7"/>
  <c r="M996" i="7" s="1"/>
  <c r="K851" i="7" l="1"/>
  <c r="M851" i="7" s="1"/>
  <c r="K83" i="7"/>
  <c r="M84" i="7"/>
  <c r="K1038" i="7"/>
  <c r="M1039" i="7"/>
  <c r="K725" i="7"/>
  <c r="K850" i="7" l="1"/>
  <c r="K849" i="7" s="1"/>
  <c r="K724" i="7"/>
  <c r="M725" i="7"/>
  <c r="K1037" i="7"/>
  <c r="M1038" i="7"/>
  <c r="K82" i="7"/>
  <c r="M83" i="7"/>
  <c r="K661" i="7"/>
  <c r="M661" i="7" s="1"/>
  <c r="K655" i="7"/>
  <c r="M655" i="7" s="1"/>
  <c r="K373" i="7"/>
  <c r="M850" i="7" l="1"/>
  <c r="K81" i="7"/>
  <c r="M81" i="7" s="1"/>
  <c r="M82" i="7"/>
  <c r="K372" i="7"/>
  <c r="M373" i="7"/>
  <c r="K848" i="7"/>
  <c r="M848" i="7" s="1"/>
  <c r="M849" i="7"/>
  <c r="K1036" i="7"/>
  <c r="M1036" i="7" s="1"/>
  <c r="M1037" i="7"/>
  <c r="K723" i="7"/>
  <c r="M723" i="7" s="1"/>
  <c r="M724" i="7"/>
  <c r="K934" i="7"/>
  <c r="M934" i="7" s="1"/>
  <c r="K406" i="7"/>
  <c r="K405" i="7" l="1"/>
  <c r="M406" i="7"/>
  <c r="K371" i="7"/>
  <c r="M372" i="7"/>
  <c r="K370" i="7" l="1"/>
  <c r="M371" i="7"/>
  <c r="K404" i="7"/>
  <c r="M405" i="7"/>
  <c r="K985" i="7"/>
  <c r="K838" i="7"/>
  <c r="K951" i="7"/>
  <c r="K1072" i="7"/>
  <c r="M985" i="7" l="1"/>
  <c r="K984" i="7"/>
  <c r="K1071" i="7"/>
  <c r="M1072" i="7"/>
  <c r="K837" i="7"/>
  <c r="M838" i="7"/>
  <c r="K950" i="7"/>
  <c r="M951" i="7"/>
  <c r="K403" i="7"/>
  <c r="M404" i="7"/>
  <c r="K369" i="7"/>
  <c r="M370" i="7"/>
  <c r="K231" i="7"/>
  <c r="M231" i="7" s="1"/>
  <c r="K368" i="7" l="1"/>
  <c r="M368" i="7" s="1"/>
  <c r="M369" i="7"/>
  <c r="K402" i="7"/>
  <c r="M402" i="7" s="1"/>
  <c r="M403" i="7"/>
  <c r="K949" i="7"/>
  <c r="M950" i="7"/>
  <c r="K836" i="7"/>
  <c r="M837" i="7"/>
  <c r="K1070" i="7"/>
  <c r="M1070" i="7" s="1"/>
  <c r="M1071" i="7"/>
  <c r="K700" i="7"/>
  <c r="K534" i="7"/>
  <c r="M534" i="7" s="1"/>
  <c r="K699" i="7" l="1"/>
  <c r="M699" i="7" s="1"/>
  <c r="M700" i="7"/>
  <c r="K835" i="7"/>
  <c r="M836" i="7"/>
  <c r="K948" i="7"/>
  <c r="M948" i="7" s="1"/>
  <c r="M949" i="7"/>
  <c r="K824" i="7"/>
  <c r="K389" i="7"/>
  <c r="M389" i="7" s="1"/>
  <c r="K429" i="7"/>
  <c r="M429" i="7" s="1"/>
  <c r="K425" i="7"/>
  <c r="M425" i="7" s="1"/>
  <c r="K419" i="7"/>
  <c r="K382" i="7"/>
  <c r="M382" i="7" s="1"/>
  <c r="K116" i="7"/>
  <c r="K823" i="7" l="1"/>
  <c r="M824" i="7"/>
  <c r="K418" i="7"/>
  <c r="M419" i="7"/>
  <c r="K834" i="7"/>
  <c r="M834" i="7" s="1"/>
  <c r="M835" i="7"/>
  <c r="K115" i="7"/>
  <c r="M116" i="7"/>
  <c r="K424" i="7"/>
  <c r="K423" i="7" l="1"/>
  <c r="M424" i="7"/>
  <c r="K114" i="7"/>
  <c r="M115" i="7"/>
  <c r="K417" i="7"/>
  <c r="M418" i="7"/>
  <c r="K822" i="7"/>
  <c r="M823" i="7"/>
  <c r="K476" i="7"/>
  <c r="K475" i="7" l="1"/>
  <c r="M475" i="7" s="1"/>
  <c r="M476" i="7"/>
  <c r="K821" i="7"/>
  <c r="M822" i="7"/>
  <c r="K416" i="7"/>
  <c r="M417" i="7"/>
  <c r="K113" i="7"/>
  <c r="M113" i="7" s="1"/>
  <c r="M114" i="7"/>
  <c r="K422" i="7"/>
  <c r="M423" i="7"/>
  <c r="K143" i="7"/>
  <c r="K142" i="7" l="1"/>
  <c r="M142" i="7" s="1"/>
  <c r="M143" i="7"/>
  <c r="K415" i="7"/>
  <c r="M415" i="7" s="1"/>
  <c r="M416" i="7"/>
  <c r="K421" i="7"/>
  <c r="M422" i="7"/>
  <c r="K820" i="7"/>
  <c r="M820" i="7" s="1"/>
  <c r="M821" i="7"/>
  <c r="K940" i="7"/>
  <c r="K930" i="7"/>
  <c r="M930" i="7" s="1"/>
  <c r="K939" i="7" l="1"/>
  <c r="M940" i="7"/>
  <c r="K414" i="7"/>
  <c r="M414" i="7" s="1"/>
  <c r="M421" i="7"/>
  <c r="K1195" i="7"/>
  <c r="M1195" i="7" s="1"/>
  <c r="K1192" i="7"/>
  <c r="M1192" i="7" s="1"/>
  <c r="K1189" i="7"/>
  <c r="M1189" i="7" s="1"/>
  <c r="K1179" i="7"/>
  <c r="M1179" i="7" s="1"/>
  <c r="K1177" i="7"/>
  <c r="M1177" i="7" s="1"/>
  <c r="K1175" i="7"/>
  <c r="M1175" i="7" s="1"/>
  <c r="K1173" i="7"/>
  <c r="M1173" i="7" s="1"/>
  <c r="K1171" i="7"/>
  <c r="M1171" i="7" s="1"/>
  <c r="K1168" i="7"/>
  <c r="M1168" i="7" s="1"/>
  <c r="K1161" i="7"/>
  <c r="K1157" i="7"/>
  <c r="K1149" i="7"/>
  <c r="K1131" i="7"/>
  <c r="M1131" i="7" s="1"/>
  <c r="K1129" i="7"/>
  <c r="K1126" i="7"/>
  <c r="K1123" i="7"/>
  <c r="M1123" i="7" s="1"/>
  <c r="K1121" i="7"/>
  <c r="M1121" i="7" s="1"/>
  <c r="K1117" i="7"/>
  <c r="K1109" i="7"/>
  <c r="K1102" i="7"/>
  <c r="M1102" i="7" s="1"/>
  <c r="K1100" i="7"/>
  <c r="M1100" i="7" s="1"/>
  <c r="K1098" i="7"/>
  <c r="M1098" i="7" s="1"/>
  <c r="K1094" i="7"/>
  <c r="M1094" i="7" s="1"/>
  <c r="K1086" i="7"/>
  <c r="M1086" i="7" s="1"/>
  <c r="K1082" i="7"/>
  <c r="M1082" i="7" s="1"/>
  <c r="K1076" i="7"/>
  <c r="K1065" i="7"/>
  <c r="K1060" i="7"/>
  <c r="K1054" i="7"/>
  <c r="K1047" i="7"/>
  <c r="K1032" i="7"/>
  <c r="K1027" i="7"/>
  <c r="M1027" i="7" s="1"/>
  <c r="K1023" i="7"/>
  <c r="M1023" i="7" s="1"/>
  <c r="K1011" i="7"/>
  <c r="K1000" i="7"/>
  <c r="K994" i="7"/>
  <c r="M994" i="7" s="1"/>
  <c r="K988" i="7"/>
  <c r="M988" i="7" s="1"/>
  <c r="M984" i="7"/>
  <c r="K982" i="7"/>
  <c r="K977" i="7"/>
  <c r="K970" i="7"/>
  <c r="K962" i="7"/>
  <c r="K954" i="7"/>
  <c r="K945" i="7"/>
  <c r="K936" i="7"/>
  <c r="K927" i="7"/>
  <c r="K924" i="7"/>
  <c r="M924" i="7" s="1"/>
  <c r="K921" i="7"/>
  <c r="M921" i="7" s="1"/>
  <c r="K907" i="7"/>
  <c r="K901" i="7"/>
  <c r="K890" i="7"/>
  <c r="K886" i="7"/>
  <c r="M886" i="7" s="1"/>
  <c r="K884" i="7"/>
  <c r="M884" i="7" s="1"/>
  <c r="K876" i="7"/>
  <c r="M876" i="7" s="1"/>
  <c r="K864" i="7"/>
  <c r="K844" i="7"/>
  <c r="K831" i="7"/>
  <c r="M831" i="7" s="1"/>
  <c r="K828" i="7"/>
  <c r="M828" i="7" s="1"/>
  <c r="K818" i="7"/>
  <c r="K811" i="7"/>
  <c r="M811" i="7" s="1"/>
  <c r="K809" i="7"/>
  <c r="M809" i="7" s="1"/>
  <c r="K807" i="7"/>
  <c r="M807" i="7" s="1"/>
  <c r="K804" i="7"/>
  <c r="M804" i="7" s="1"/>
  <c r="K802" i="7"/>
  <c r="M802" i="7" s="1"/>
  <c r="K798" i="7"/>
  <c r="M798" i="7" s="1"/>
  <c r="K790" i="7"/>
  <c r="M790" i="7" s="1"/>
  <c r="K787" i="7"/>
  <c r="M787" i="7" s="1"/>
  <c r="K785" i="7"/>
  <c r="M785" i="7" s="1"/>
  <c r="K771" i="7"/>
  <c r="M771" i="7" s="1"/>
  <c r="K769" i="7"/>
  <c r="M769" i="7" s="1"/>
  <c r="K763" i="7"/>
  <c r="K753" i="7"/>
  <c r="K741" i="7"/>
  <c r="M741" i="7" s="1"/>
  <c r="K739" i="7"/>
  <c r="M739" i="7" s="1"/>
  <c r="K736" i="7"/>
  <c r="K721" i="7"/>
  <c r="K717" i="7"/>
  <c r="K705" i="7"/>
  <c r="M705" i="7" s="1"/>
  <c r="K697" i="7"/>
  <c r="K694" i="7"/>
  <c r="M694" i="7" s="1"/>
  <c r="K692" i="7"/>
  <c r="M692" i="7" s="1"/>
  <c r="K690" i="7"/>
  <c r="M690" i="7" s="1"/>
  <c r="K688" i="7"/>
  <c r="M688" i="7" s="1"/>
  <c r="K686" i="7"/>
  <c r="M686" i="7" s="1"/>
  <c r="K684" i="7"/>
  <c r="M684" i="7" s="1"/>
  <c r="K682" i="7"/>
  <c r="M682" i="7" s="1"/>
  <c r="K680" i="7"/>
  <c r="M680" i="7" s="1"/>
  <c r="K677" i="7"/>
  <c r="M677" i="7" s="1"/>
  <c r="K675" i="7"/>
  <c r="M675" i="7" s="1"/>
  <c r="K673" i="7"/>
  <c r="M673" i="7" s="1"/>
  <c r="K671" i="7"/>
  <c r="M671" i="7" s="1"/>
  <c r="K668" i="7"/>
  <c r="K664" i="7"/>
  <c r="K660" i="7"/>
  <c r="K649" i="7"/>
  <c r="K645" i="7"/>
  <c r="K635" i="7"/>
  <c r="K627" i="7"/>
  <c r="M627" i="7" s="1"/>
  <c r="K625" i="7"/>
  <c r="M625" i="7" s="1"/>
  <c r="K623" i="7"/>
  <c r="M623" i="7" s="1"/>
  <c r="K620" i="7"/>
  <c r="K608" i="7"/>
  <c r="K592" i="7"/>
  <c r="K585" i="7"/>
  <c r="K580" i="7"/>
  <c r="M580" i="7" s="1"/>
  <c r="K577" i="7"/>
  <c r="M577" i="7" s="1"/>
  <c r="K574" i="7"/>
  <c r="M574" i="7" s="1"/>
  <c r="K570" i="7"/>
  <c r="K567" i="7"/>
  <c r="M567" i="7" s="1"/>
  <c r="K565" i="7"/>
  <c r="M565" i="7" s="1"/>
  <c r="K557" i="7"/>
  <c r="M557" i="7" s="1"/>
  <c r="K555" i="7"/>
  <c r="M555" i="7" s="1"/>
  <c r="K547" i="7"/>
  <c r="K540" i="7"/>
  <c r="K533" i="7"/>
  <c r="K526" i="7"/>
  <c r="K522" i="7"/>
  <c r="K517" i="7"/>
  <c r="K514" i="7"/>
  <c r="M514" i="7" s="1"/>
  <c r="K511" i="7"/>
  <c r="M511" i="7" s="1"/>
  <c r="K508" i="7"/>
  <c r="K500" i="7"/>
  <c r="K492" i="7"/>
  <c r="M492" i="7" s="1"/>
  <c r="K488" i="7"/>
  <c r="M488" i="7" s="1"/>
  <c r="M484" i="7"/>
  <c r="K480" i="7"/>
  <c r="M480" i="7" s="1"/>
  <c r="K471" i="7"/>
  <c r="M471" i="7" s="1"/>
  <c r="K467" i="7"/>
  <c r="M467" i="7" s="1"/>
  <c r="K463" i="7"/>
  <c r="K461" i="7"/>
  <c r="M461" i="7" s="1"/>
  <c r="K456" i="7"/>
  <c r="M451" i="7"/>
  <c r="K445" i="7"/>
  <c r="M445" i="7" s="1"/>
  <c r="K441" i="7"/>
  <c r="M441" i="7" s="1"/>
  <c r="K437" i="7"/>
  <c r="K412" i="7"/>
  <c r="K400" i="7"/>
  <c r="K391" i="7"/>
  <c r="M391" i="7" s="1"/>
  <c r="K387" i="7"/>
  <c r="M387" i="7" s="1"/>
  <c r="K384" i="7"/>
  <c r="M384" i="7" s="1"/>
  <c r="K380" i="7"/>
  <c r="M380" i="7" s="1"/>
  <c r="K365" i="7"/>
  <c r="K358" i="7"/>
  <c r="K351" i="7"/>
  <c r="K344" i="7"/>
  <c r="M344" i="7" s="1"/>
  <c r="K340" i="7"/>
  <c r="M340" i="7" s="1"/>
  <c r="K336" i="7"/>
  <c r="K328" i="7"/>
  <c r="K322" i="7"/>
  <c r="K315" i="7"/>
  <c r="K308" i="7"/>
  <c r="K296" i="7"/>
  <c r="K284" i="7"/>
  <c r="M284" i="7" s="1"/>
  <c r="K282" i="7"/>
  <c r="M282" i="7" s="1"/>
  <c r="K276" i="7"/>
  <c r="K267" i="7"/>
  <c r="K266" i="7" s="1"/>
  <c r="K259" i="7"/>
  <c r="M259" i="7" s="1"/>
  <c r="K247" i="7"/>
  <c r="K230" i="7"/>
  <c r="K224" i="7"/>
  <c r="M224" i="7" s="1"/>
  <c r="K223" i="7"/>
  <c r="K210" i="7"/>
  <c r="K198" i="7"/>
  <c r="K191" i="7"/>
  <c r="K187" i="7"/>
  <c r="K177" i="7"/>
  <c r="K171" i="7"/>
  <c r="M171" i="7" s="1"/>
  <c r="K169" i="7"/>
  <c r="M169" i="7" s="1"/>
  <c r="K167" i="7"/>
  <c r="K160" i="7"/>
  <c r="K153" i="7"/>
  <c r="K139" i="7"/>
  <c r="K126" i="7"/>
  <c r="K105" i="7"/>
  <c r="K101" i="7"/>
  <c r="K97" i="7"/>
  <c r="M97" i="7" s="1"/>
  <c r="K95" i="7"/>
  <c r="M95" i="7" s="1"/>
  <c r="K89" i="7"/>
  <c r="K78" i="7"/>
  <c r="K73" i="7"/>
  <c r="K67" i="7"/>
  <c r="M67" i="7" s="1"/>
  <c r="K64" i="7"/>
  <c r="M64" i="7" s="1"/>
  <c r="K58" i="7"/>
  <c r="M58" i="7" s="1"/>
  <c r="K55" i="7"/>
  <c r="M55" i="7" s="1"/>
  <c r="M48" i="7"/>
  <c r="K44" i="7"/>
  <c r="K31" i="7"/>
  <c r="M31" i="7" s="1"/>
  <c r="K21" i="7"/>
  <c r="M21" i="7" s="1"/>
  <c r="M1117" i="7" l="1"/>
  <c r="K1116" i="7"/>
  <c r="M982" i="7"/>
  <c r="K981" i="7"/>
  <c r="M936" i="7"/>
  <c r="K933" i="7"/>
  <c r="M508" i="7"/>
  <c r="K507" i="7"/>
  <c r="M507" i="7" s="1"/>
  <c r="M456" i="7"/>
  <c r="K455" i="7"/>
  <c r="M463" i="7"/>
  <c r="M437" i="7"/>
  <c r="K584" i="7"/>
  <c r="M584" i="7" s="1"/>
  <c r="M585" i="7"/>
  <c r="K659" i="7"/>
  <c r="M660" i="7"/>
  <c r="K752" i="7"/>
  <c r="M753" i="7"/>
  <c r="K969" i="7"/>
  <c r="M970" i="7"/>
  <c r="K1046" i="7"/>
  <c r="M1047" i="7"/>
  <c r="K1108" i="7"/>
  <c r="M1109" i="7"/>
  <c r="K532" i="7"/>
  <c r="M533" i="7"/>
  <c r="K591" i="7"/>
  <c r="M592" i="7"/>
  <c r="K756" i="7"/>
  <c r="M757" i="7"/>
  <c r="K900" i="7"/>
  <c r="M901" i="7"/>
  <c r="K976" i="7"/>
  <c r="M976" i="7" s="1"/>
  <c r="M977" i="7"/>
  <c r="K1053" i="7"/>
  <c r="M1054" i="7"/>
  <c r="M267" i="7"/>
  <c r="K350" i="7"/>
  <c r="M351" i="7"/>
  <c r="K449" i="7"/>
  <c r="M449" i="7" s="1"/>
  <c r="M450" i="7"/>
  <c r="K539" i="7"/>
  <c r="M540" i="7"/>
  <c r="K607" i="7"/>
  <c r="M608" i="7"/>
  <c r="K663" i="7"/>
  <c r="M663" i="7" s="1"/>
  <c r="M664" i="7"/>
  <c r="K762" i="7"/>
  <c r="M763" i="7"/>
  <c r="K817" i="7"/>
  <c r="M817" i="7" s="1"/>
  <c r="M818" i="7"/>
  <c r="K906" i="7"/>
  <c r="M907" i="7"/>
  <c r="K1059" i="7"/>
  <c r="M1060" i="7"/>
  <c r="K246" i="7"/>
  <c r="M247" i="7"/>
  <c r="K275" i="7"/>
  <c r="M276" i="7"/>
  <c r="K357" i="7"/>
  <c r="M358" i="7"/>
  <c r="K546" i="7"/>
  <c r="M547" i="7"/>
  <c r="M614" i="7"/>
  <c r="K667" i="7"/>
  <c r="M667" i="7" s="1"/>
  <c r="M668" i="7"/>
  <c r="K913" i="7"/>
  <c r="M914" i="7"/>
  <c r="K499" i="7"/>
  <c r="M500" i="7"/>
  <c r="K619" i="7"/>
  <c r="M619" i="7" s="1"/>
  <c r="M620" i="7"/>
  <c r="K696" i="7"/>
  <c r="M696" i="7" s="1"/>
  <c r="M697" i="7"/>
  <c r="K1064" i="7"/>
  <c r="M1064" i="7" s="1"/>
  <c r="M1065" i="7"/>
  <c r="K1125" i="7"/>
  <c r="M1125" i="7" s="1"/>
  <c r="M1126" i="7"/>
  <c r="K72" i="7"/>
  <c r="M73" i="7"/>
  <c r="K1075" i="7"/>
  <c r="M1076" i="7"/>
  <c r="K1128" i="7"/>
  <c r="M1128" i="7" s="1"/>
  <c r="M1129" i="7"/>
  <c r="K716" i="7"/>
  <c r="M717" i="7"/>
  <c r="K843" i="7"/>
  <c r="M844" i="7"/>
  <c r="K926" i="7"/>
  <c r="M926" i="7" s="1"/>
  <c r="M927" i="7"/>
  <c r="K307" i="7"/>
  <c r="M308" i="7"/>
  <c r="K720" i="7"/>
  <c r="M721" i="7"/>
  <c r="K863" i="7"/>
  <c r="M864" i="7"/>
  <c r="K999" i="7"/>
  <c r="M1000" i="7"/>
  <c r="K1148" i="7"/>
  <c r="M1149" i="7"/>
  <c r="K77" i="7"/>
  <c r="M78" i="7"/>
  <c r="K176" i="7"/>
  <c r="M177" i="7"/>
  <c r="K186" i="7"/>
  <c r="M187" i="7"/>
  <c r="K295" i="7"/>
  <c r="M296" i="7"/>
  <c r="K100" i="7"/>
  <c r="M101" i="7"/>
  <c r="K197" i="7"/>
  <c r="M198" i="7"/>
  <c r="K209" i="7"/>
  <c r="M210" i="7"/>
  <c r="K314" i="7"/>
  <c r="M315" i="7"/>
  <c r="K562" i="7"/>
  <c r="M562" i="7" s="1"/>
  <c r="M570" i="7"/>
  <c r="M629" i="7"/>
  <c r="K1010" i="7"/>
  <c r="M1011" i="7"/>
  <c r="K159" i="7"/>
  <c r="M160" i="7"/>
  <c r="K43" i="7"/>
  <c r="M44" i="7"/>
  <c r="K222" i="7"/>
  <c r="M223" i="7"/>
  <c r="K321" i="7"/>
  <c r="M322" i="7"/>
  <c r="K397" i="7"/>
  <c r="M397" i="7" s="1"/>
  <c r="M400" i="7"/>
  <c r="K516" i="7"/>
  <c r="M516" i="7" s="1"/>
  <c r="M517" i="7"/>
  <c r="K634" i="7"/>
  <c r="M634" i="7" s="1"/>
  <c r="M635" i="7"/>
  <c r="K735" i="7"/>
  <c r="M735" i="7" s="1"/>
  <c r="M736" i="7"/>
  <c r="K944" i="7"/>
  <c r="M945" i="7"/>
  <c r="K1156" i="7"/>
  <c r="M1157" i="7"/>
  <c r="K88" i="7"/>
  <c r="M88" i="7" s="1"/>
  <c r="M89" i="7"/>
  <c r="K190" i="7"/>
  <c r="M191" i="7"/>
  <c r="K104" i="7"/>
  <c r="M104" i="7" s="1"/>
  <c r="M105" i="7"/>
  <c r="K125" i="7"/>
  <c r="M126" i="7"/>
  <c r="K138" i="7"/>
  <c r="M139" i="7"/>
  <c r="K327" i="7"/>
  <c r="M328" i="7"/>
  <c r="K411" i="7"/>
  <c r="M412" i="7"/>
  <c r="K521" i="7"/>
  <c r="M522" i="7"/>
  <c r="K644" i="7"/>
  <c r="M645" i="7"/>
  <c r="K953" i="7"/>
  <c r="M954" i="7"/>
  <c r="K1160" i="7"/>
  <c r="M1161" i="7"/>
  <c r="K166" i="7"/>
  <c r="M166" i="7" s="1"/>
  <c r="M167" i="7"/>
  <c r="K364" i="7"/>
  <c r="M365" i="7"/>
  <c r="K152" i="7"/>
  <c r="M153" i="7"/>
  <c r="K229" i="7"/>
  <c r="M229" i="7" s="1"/>
  <c r="M230" i="7"/>
  <c r="K335" i="7"/>
  <c r="M336" i="7"/>
  <c r="K525" i="7"/>
  <c r="M526" i="7"/>
  <c r="K648" i="7"/>
  <c r="M649" i="7"/>
  <c r="K889" i="7"/>
  <c r="M890" i="7"/>
  <c r="K961" i="7"/>
  <c r="M962" i="7"/>
  <c r="K1031" i="7"/>
  <c r="M1032" i="7"/>
  <c r="K938" i="7"/>
  <c r="M938" i="7" s="1"/>
  <c r="M939" i="7"/>
  <c r="K61" i="7"/>
  <c r="M61" i="7" s="1"/>
  <c r="K573" i="7"/>
  <c r="M573" i="7" s="1"/>
  <c r="K30" i="7"/>
  <c r="K1184" i="7"/>
  <c r="M1184" i="7" s="1"/>
  <c r="K256" i="7"/>
  <c r="K47" i="7"/>
  <c r="M47" i="7" s="1"/>
  <c r="K20" i="7"/>
  <c r="K782" i="7"/>
  <c r="M782" i="7" s="1"/>
  <c r="K881" i="7"/>
  <c r="K875" i="7"/>
  <c r="K704" i="7"/>
  <c r="K1093" i="7"/>
  <c r="K768" i="7"/>
  <c r="M768" i="7" s="1"/>
  <c r="K679" i="7"/>
  <c r="M679" i="7" s="1"/>
  <c r="K1167" i="7"/>
  <c r="K975" i="7"/>
  <c r="K94" i="7"/>
  <c r="K738" i="7"/>
  <c r="K379" i="7"/>
  <c r="M379" i="7" s="1"/>
  <c r="K466" i="7"/>
  <c r="K1022" i="7"/>
  <c r="K1081" i="7"/>
  <c r="K386" i="7"/>
  <c r="M386" i="7" s="1"/>
  <c r="K554" i="7"/>
  <c r="K479" i="7"/>
  <c r="K794" i="7"/>
  <c r="K806" i="7"/>
  <c r="M806" i="7" s="1"/>
  <c r="K281" i="7"/>
  <c r="K510" i="7"/>
  <c r="M510" i="7" s="1"/>
  <c r="K339" i="7"/>
  <c r="M455" i="7"/>
  <c r="K622" i="7"/>
  <c r="M622" i="7" s="1"/>
  <c r="K670" i="7"/>
  <c r="M670" i="7" s="1"/>
  <c r="K920" i="7"/>
  <c r="K827" i="7"/>
  <c r="M1059" i="7" l="1"/>
  <c r="K1058" i="7"/>
  <c r="M889" i="7"/>
  <c r="K888" i="7"/>
  <c r="M888" i="7" s="1"/>
  <c r="K396" i="7"/>
  <c r="K633" i="7"/>
  <c r="K228" i="7"/>
  <c r="K227" i="7" s="1"/>
  <c r="K1183" i="7"/>
  <c r="K1182" i="7" s="1"/>
  <c r="M659" i="7"/>
  <c r="K654" i="7"/>
  <c r="M654" i="7" s="1"/>
  <c r="K436" i="7"/>
  <c r="M436" i="7" s="1"/>
  <c r="K165" i="7"/>
  <c r="K164" i="7" s="1"/>
  <c r="M100" i="7"/>
  <c r="K99" i="7"/>
  <c r="M99" i="7" s="1"/>
  <c r="K729" i="7"/>
  <c r="M729" i="7" s="1"/>
  <c r="M738" i="7"/>
  <c r="K874" i="7"/>
  <c r="M874" i="7" s="1"/>
  <c r="M875" i="7"/>
  <c r="K1159" i="7"/>
  <c r="M1159" i="7" s="1"/>
  <c r="M1160" i="7"/>
  <c r="K137" i="7"/>
  <c r="M138" i="7"/>
  <c r="K943" i="7"/>
  <c r="M944" i="7"/>
  <c r="K221" i="7"/>
  <c r="M222" i="7"/>
  <c r="K294" i="7"/>
  <c r="M295" i="7"/>
  <c r="K862" i="7"/>
  <c r="M863" i="7"/>
  <c r="K538" i="7"/>
  <c r="M539" i="7"/>
  <c r="K899" i="7"/>
  <c r="M900" i="7"/>
  <c r="K968" i="7"/>
  <c r="M969" i="7"/>
  <c r="K974" i="7"/>
  <c r="M974" i="7" s="1"/>
  <c r="M975" i="7"/>
  <c r="K334" i="7"/>
  <c r="M335" i="7"/>
  <c r="K952" i="7"/>
  <c r="M953" i="7"/>
  <c r="K124" i="7"/>
  <c r="M125" i="7"/>
  <c r="K42" i="7"/>
  <c r="M43" i="7"/>
  <c r="K185" i="7"/>
  <c r="M186" i="7"/>
  <c r="K719" i="7"/>
  <c r="M719" i="7" s="1"/>
  <c r="M720" i="7"/>
  <c r="K1074" i="7"/>
  <c r="M1075" i="7"/>
  <c r="K545" i="7"/>
  <c r="M546" i="7"/>
  <c r="K905" i="7"/>
  <c r="M906" i="7"/>
  <c r="K755" i="7"/>
  <c r="M755" i="7" s="1"/>
  <c r="M756" i="7"/>
  <c r="K1166" i="7"/>
  <c r="M1167" i="7"/>
  <c r="K553" i="7"/>
  <c r="M554" i="7"/>
  <c r="K980" i="7"/>
  <c r="M981" i="7"/>
  <c r="K1030" i="7"/>
  <c r="M1031" i="7"/>
  <c r="K643" i="7"/>
  <c r="M644" i="7"/>
  <c r="K158" i="7"/>
  <c r="M159" i="7"/>
  <c r="K313" i="7"/>
  <c r="M314" i="7"/>
  <c r="K175" i="7"/>
  <c r="M176" i="7"/>
  <c r="K306" i="7"/>
  <c r="M307" i="7"/>
  <c r="K498" i="7"/>
  <c r="M499" i="7"/>
  <c r="K349" i="7"/>
  <c r="M350" i="7"/>
  <c r="K590" i="7"/>
  <c r="M591" i="7"/>
  <c r="K751" i="7"/>
  <c r="M752" i="7"/>
  <c r="K524" i="7"/>
  <c r="M524" i="7" s="1"/>
  <c r="M525" i="7"/>
  <c r="K1057" i="7"/>
  <c r="M1057" i="7" s="1"/>
  <c r="M1058" i="7"/>
  <c r="K338" i="7"/>
  <c r="M339" i="7"/>
  <c r="K1092" i="7"/>
  <c r="M1093" i="7"/>
  <c r="K19" i="7"/>
  <c r="M20" i="7"/>
  <c r="K960" i="7"/>
  <c r="M961" i="7"/>
  <c r="K151" i="7"/>
  <c r="M152" i="7"/>
  <c r="K520" i="7"/>
  <c r="M520" i="7" s="1"/>
  <c r="M521" i="7"/>
  <c r="K189" i="7"/>
  <c r="M189" i="7" s="1"/>
  <c r="M190" i="7"/>
  <c r="K208" i="7"/>
  <c r="M209" i="7"/>
  <c r="K76" i="7"/>
  <c r="M77" i="7"/>
  <c r="K71" i="7"/>
  <c r="M72" i="7"/>
  <c r="K356" i="7"/>
  <c r="M357" i="7"/>
  <c r="K761" i="7"/>
  <c r="M762" i="7"/>
  <c r="K265" i="7"/>
  <c r="M266" i="7"/>
  <c r="K531" i="7"/>
  <c r="M532" i="7"/>
  <c r="K87" i="7"/>
  <c r="M94" i="7"/>
  <c r="K826" i="7"/>
  <c r="K825" i="7" s="1"/>
  <c r="M827" i="7"/>
  <c r="K1080" i="7"/>
  <c r="M1081" i="7"/>
  <c r="K478" i="7"/>
  <c r="M478" i="7" s="1"/>
  <c r="M479" i="7"/>
  <c r="K1021" i="7"/>
  <c r="M1022" i="7"/>
  <c r="K932" i="7"/>
  <c r="M932" i="7" s="1"/>
  <c r="M933" i="7"/>
  <c r="K255" i="7"/>
  <c r="M256" i="7"/>
  <c r="K363" i="7"/>
  <c r="M364" i="7"/>
  <c r="K410" i="7"/>
  <c r="M411" i="7"/>
  <c r="K1009" i="7"/>
  <c r="M1010" i="7"/>
  <c r="K196" i="7"/>
  <c r="M197" i="7"/>
  <c r="K1147" i="7"/>
  <c r="M1148" i="7"/>
  <c r="K842" i="7"/>
  <c r="M843" i="7"/>
  <c r="K912" i="7"/>
  <c r="M913" i="7"/>
  <c r="K274" i="7"/>
  <c r="M275" i="7"/>
  <c r="K1052" i="7"/>
  <c r="M1053" i="7"/>
  <c r="K1107" i="7"/>
  <c r="M1108" i="7"/>
  <c r="K789" i="7"/>
  <c r="M789" i="7" s="1"/>
  <c r="M794" i="7"/>
  <c r="K632" i="7"/>
  <c r="M632" i="7" s="1"/>
  <c r="M633" i="7"/>
  <c r="K465" i="7"/>
  <c r="M465" i="7" s="1"/>
  <c r="M466" i="7"/>
  <c r="K1115" i="7"/>
  <c r="M1116" i="7"/>
  <c r="K280" i="7"/>
  <c r="M281" i="7"/>
  <c r="K880" i="7"/>
  <c r="M880" i="7" s="1"/>
  <c r="M881" i="7"/>
  <c r="K395" i="7"/>
  <c r="M396" i="7"/>
  <c r="K919" i="7"/>
  <c r="M919" i="7" s="1"/>
  <c r="M920" i="7"/>
  <c r="K703" i="7"/>
  <c r="M704" i="7"/>
  <c r="K29" i="7"/>
  <c r="M30" i="7"/>
  <c r="K647" i="7"/>
  <c r="M647" i="7" s="1"/>
  <c r="M648" i="7"/>
  <c r="K326" i="7"/>
  <c r="M327" i="7"/>
  <c r="K1155" i="7"/>
  <c r="K1154" i="7" s="1"/>
  <c r="M1156" i="7"/>
  <c r="K320" i="7"/>
  <c r="M321" i="7"/>
  <c r="K998" i="7"/>
  <c r="M998" i="7" s="1"/>
  <c r="M999" i="7"/>
  <c r="K715" i="7"/>
  <c r="M716" i="7"/>
  <c r="K245" i="7"/>
  <c r="M246" i="7"/>
  <c r="K606" i="7"/>
  <c r="M607" i="7"/>
  <c r="K1045" i="7"/>
  <c r="M1046" i="7"/>
  <c r="K46" i="7"/>
  <c r="K378" i="7"/>
  <c r="K613" i="7"/>
  <c r="K561" i="7"/>
  <c r="K506" i="7"/>
  <c r="K653" i="7" l="1"/>
  <c r="K435" i="7"/>
  <c r="M1183" i="7"/>
  <c r="M165" i="7"/>
  <c r="M228" i="7"/>
  <c r="K728" i="7"/>
  <c r="K873" i="7"/>
  <c r="M873" i="7" s="1"/>
  <c r="K767" i="7"/>
  <c r="K766" i="7" s="1"/>
  <c r="K1114" i="7"/>
  <c r="M1115" i="7"/>
  <c r="K409" i="7"/>
  <c r="M410" i="7"/>
  <c r="K1079" i="7"/>
  <c r="M1080" i="7"/>
  <c r="K355" i="7"/>
  <c r="M356" i="7"/>
  <c r="M338" i="7"/>
  <c r="K157" i="7"/>
  <c r="M158" i="7"/>
  <c r="K1165" i="7"/>
  <c r="M1166" i="7"/>
  <c r="M185" i="7"/>
  <c r="K184" i="7"/>
  <c r="K220" i="7"/>
  <c r="M221" i="7"/>
  <c r="K28" i="7"/>
  <c r="M28" i="7" s="1"/>
  <c r="M29" i="7"/>
  <c r="K702" i="7"/>
  <c r="M702" i="7" s="1"/>
  <c r="M703" i="7"/>
  <c r="K362" i="7"/>
  <c r="M363" i="7"/>
  <c r="M825" i="7"/>
  <c r="M826" i="7"/>
  <c r="K70" i="7"/>
  <c r="M70" i="7" s="1"/>
  <c r="M71" i="7"/>
  <c r="K150" i="7"/>
  <c r="M151" i="7"/>
  <c r="K497" i="7"/>
  <c r="M498" i="7"/>
  <c r="M643" i="7"/>
  <c r="K642" i="7"/>
  <c r="M642" i="7" s="1"/>
  <c r="K41" i="7"/>
  <c r="M41" i="7" s="1"/>
  <c r="M42" i="7"/>
  <c r="K967" i="7"/>
  <c r="M968" i="7"/>
  <c r="K942" i="7"/>
  <c r="M942" i="7" s="1"/>
  <c r="M943" i="7"/>
  <c r="K841" i="7"/>
  <c r="M842" i="7"/>
  <c r="K249" i="7"/>
  <c r="M249" i="7" s="1"/>
  <c r="M255" i="7"/>
  <c r="K86" i="7"/>
  <c r="M87" i="7"/>
  <c r="K75" i="7"/>
  <c r="M75" i="7" s="1"/>
  <c r="M76" i="7"/>
  <c r="K959" i="7"/>
  <c r="M960" i="7"/>
  <c r="K1029" i="7"/>
  <c r="M1029" i="7" s="1"/>
  <c r="M1030" i="7"/>
  <c r="K904" i="7"/>
  <c r="M905" i="7"/>
  <c r="K123" i="7"/>
  <c r="M123" i="7" s="1"/>
  <c r="M124" i="7"/>
  <c r="K894" i="7"/>
  <c r="M894" i="7" s="1"/>
  <c r="M899" i="7"/>
  <c r="K134" i="7"/>
  <c r="M137" i="7"/>
  <c r="K911" i="7"/>
  <c r="M912" i="7"/>
  <c r="M728" i="7"/>
  <c r="K605" i="7"/>
  <c r="M606" i="7"/>
  <c r="M1155" i="7"/>
  <c r="K394" i="7"/>
  <c r="M395" i="7"/>
  <c r="K1146" i="7"/>
  <c r="M1147" i="7"/>
  <c r="K530" i="7"/>
  <c r="M531" i="7"/>
  <c r="K207" i="7"/>
  <c r="M208" i="7"/>
  <c r="K18" i="7"/>
  <c r="M19" i="7"/>
  <c r="M751" i="7"/>
  <c r="K750" i="7"/>
  <c r="M750" i="7" s="1"/>
  <c r="K305" i="7"/>
  <c r="M306" i="7"/>
  <c r="K979" i="7"/>
  <c r="M979" i="7" s="1"/>
  <c r="M980" i="7"/>
  <c r="K544" i="7"/>
  <c r="M545" i="7"/>
  <c r="K947" i="7"/>
  <c r="M947" i="7" s="1"/>
  <c r="M952" i="7"/>
  <c r="K537" i="7"/>
  <c r="M538" i="7"/>
  <c r="K1044" i="7"/>
  <c r="M1045" i="7"/>
  <c r="K918" i="7"/>
  <c r="M46" i="7"/>
  <c r="K319" i="7"/>
  <c r="M320" i="7"/>
  <c r="K505" i="7"/>
  <c r="M506" i="7"/>
  <c r="K652" i="7"/>
  <c r="M653" i="7"/>
  <c r="K244" i="7"/>
  <c r="M245" i="7"/>
  <c r="K325" i="7"/>
  <c r="M326" i="7"/>
  <c r="K1106" i="7"/>
  <c r="M1107" i="7"/>
  <c r="K195" i="7"/>
  <c r="M196" i="7"/>
  <c r="K1020" i="7"/>
  <c r="M1021" i="7"/>
  <c r="K264" i="7"/>
  <c r="M265" i="7"/>
  <c r="K1091" i="7"/>
  <c r="M1092" i="7"/>
  <c r="K589" i="7"/>
  <c r="M590" i="7"/>
  <c r="K174" i="7"/>
  <c r="M174" i="7" s="1"/>
  <c r="M175" i="7"/>
  <c r="K552" i="7"/>
  <c r="M553" i="7"/>
  <c r="K1069" i="7"/>
  <c r="M1074" i="7"/>
  <c r="K333" i="7"/>
  <c r="M333" i="7" s="1"/>
  <c r="M334" i="7"/>
  <c r="K861" i="7"/>
  <c r="M862" i="7"/>
  <c r="K273" i="7"/>
  <c r="M273" i="7" s="1"/>
  <c r="M274" i="7"/>
  <c r="K434" i="7"/>
  <c r="M435" i="7"/>
  <c r="K560" i="7"/>
  <c r="M561" i="7"/>
  <c r="K612" i="7"/>
  <c r="M613" i="7"/>
  <c r="K377" i="7"/>
  <c r="M378" i="7"/>
  <c r="M715" i="7"/>
  <c r="K714" i="7"/>
  <c r="M714" i="7" s="1"/>
  <c r="K279" i="7"/>
  <c r="M280" i="7"/>
  <c r="K1051" i="7"/>
  <c r="M1052" i="7"/>
  <c r="K1004" i="7"/>
  <c r="M1004" i="7" s="1"/>
  <c r="M1009" i="7"/>
  <c r="K760" i="7"/>
  <c r="M761" i="7"/>
  <c r="K163" i="7"/>
  <c r="M164" i="7"/>
  <c r="K348" i="7"/>
  <c r="M349" i="7"/>
  <c r="K312" i="7"/>
  <c r="M313" i="7"/>
  <c r="K1181" i="7"/>
  <c r="M1181" i="7" s="1"/>
  <c r="M1182" i="7"/>
  <c r="K226" i="7"/>
  <c r="M226" i="7" s="1"/>
  <c r="M227" i="7"/>
  <c r="K293" i="7"/>
  <c r="M294" i="7"/>
  <c r="M767" i="7" l="1"/>
  <c r="K651" i="7"/>
  <c r="K35" i="7"/>
  <c r="M35" i="7" s="1"/>
  <c r="K867" i="7"/>
  <c r="M867" i="7" s="1"/>
  <c r="K1153" i="7"/>
  <c r="M1154" i="7"/>
  <c r="K1090" i="7"/>
  <c r="M1091" i="7"/>
  <c r="K536" i="7"/>
  <c r="M537" i="7"/>
  <c r="K17" i="7"/>
  <c r="M18" i="7"/>
  <c r="K604" i="7"/>
  <c r="M605" i="7"/>
  <c r="K903" i="7"/>
  <c r="M904" i="7"/>
  <c r="K840" i="7"/>
  <c r="M841" i="7"/>
  <c r="K496" i="7"/>
  <c r="M497" i="7"/>
  <c r="K332" i="7"/>
  <c r="M651" i="7"/>
  <c r="M652" i="7"/>
  <c r="M1069" i="7"/>
  <c r="K1056" i="7"/>
  <c r="K1019" i="7"/>
  <c r="M1019" i="7" s="1"/>
  <c r="M1020" i="7"/>
  <c r="K504" i="7"/>
  <c r="M505" i="7"/>
  <c r="K243" i="7"/>
  <c r="M243" i="7" s="1"/>
  <c r="M244" i="7"/>
  <c r="M207" i="7"/>
  <c r="K201" i="7"/>
  <c r="K727" i="7"/>
  <c r="M727" i="7" s="1"/>
  <c r="K149" i="7"/>
  <c r="M149" i="7" s="1"/>
  <c r="M150" i="7"/>
  <c r="M220" i="7"/>
  <c r="K354" i="7"/>
  <c r="M355" i="7"/>
  <c r="K611" i="7"/>
  <c r="M612" i="7"/>
  <c r="K551" i="7"/>
  <c r="M552" i="7"/>
  <c r="K173" i="7"/>
  <c r="M173" i="7" s="1"/>
  <c r="M184" i="7"/>
  <c r="K559" i="7"/>
  <c r="M559" i="7" s="1"/>
  <c r="M560" i="7"/>
  <c r="K765" i="7"/>
  <c r="M765" i="7" s="1"/>
  <c r="M766" i="7"/>
  <c r="K347" i="7"/>
  <c r="M347" i="7" s="1"/>
  <c r="M348" i="7"/>
  <c r="K543" i="7"/>
  <c r="M544" i="7"/>
  <c r="K529" i="7"/>
  <c r="M530" i="7"/>
  <c r="M911" i="7"/>
  <c r="K910" i="7"/>
  <c r="M910" i="7" s="1"/>
  <c r="K958" i="7"/>
  <c r="M959" i="7"/>
  <c r="K1078" i="7"/>
  <c r="M1078" i="7" s="1"/>
  <c r="M1079" i="7"/>
  <c r="K860" i="7"/>
  <c r="M861" i="7"/>
  <c r="K1043" i="7"/>
  <c r="M1044" i="7"/>
  <c r="K194" i="7"/>
  <c r="M195" i="7"/>
  <c r="K973" i="7"/>
  <c r="K433" i="7"/>
  <c r="M434" i="7"/>
  <c r="K1105" i="7"/>
  <c r="M1106" i="7"/>
  <c r="K1050" i="7"/>
  <c r="M1050" i="7" s="1"/>
  <c r="M1051" i="7"/>
  <c r="K278" i="7"/>
  <c r="M278" i="7" s="1"/>
  <c r="M279" i="7"/>
  <c r="K1145" i="7"/>
  <c r="M1146" i="7"/>
  <c r="K129" i="7"/>
  <c r="M134" i="7"/>
  <c r="K966" i="7"/>
  <c r="M967" i="7"/>
  <c r="K1164" i="7"/>
  <c r="M1165" i="7"/>
  <c r="K408" i="7"/>
  <c r="M408" i="7" s="1"/>
  <c r="M409" i="7"/>
  <c r="M264" i="7"/>
  <c r="K311" i="7"/>
  <c r="M312" i="7"/>
  <c r="K318" i="7"/>
  <c r="M319" i="7"/>
  <c r="M163" i="7"/>
  <c r="K376" i="7"/>
  <c r="M377" i="7"/>
  <c r="K588" i="7"/>
  <c r="M589" i="7"/>
  <c r="K324" i="7"/>
  <c r="M324" i="7" s="1"/>
  <c r="M325" i="7"/>
  <c r="K292" i="7"/>
  <c r="M293" i="7"/>
  <c r="K759" i="7"/>
  <c r="M759" i="7" s="1"/>
  <c r="M760" i="7"/>
  <c r="K917" i="7"/>
  <c r="M918" i="7"/>
  <c r="K304" i="7"/>
  <c r="M305" i="7"/>
  <c r="M394" i="7"/>
  <c r="M86" i="7"/>
  <c r="K361" i="7"/>
  <c r="M362" i="7"/>
  <c r="K156" i="7"/>
  <c r="M157" i="7"/>
  <c r="M1114" i="7"/>
  <c r="K1113" i="7"/>
  <c r="K162" i="7" l="1"/>
  <c r="M162" i="7" s="1"/>
  <c r="K263" i="7"/>
  <c r="M263" i="7" s="1"/>
  <c r="K219" i="7"/>
  <c r="M219" i="7" s="1"/>
  <c r="K1049" i="7"/>
  <c r="M1056" i="7"/>
  <c r="K603" i="7"/>
  <c r="M604" i="7"/>
  <c r="K16" i="7"/>
  <c r="M17" i="7"/>
  <c r="M1164" i="7"/>
  <c r="K1163" i="7"/>
  <c r="K375" i="7"/>
  <c r="M376" i="7"/>
  <c r="M318" i="7"/>
  <c r="K317" i="7"/>
  <c r="M317" i="7" s="1"/>
  <c r="K200" i="7"/>
  <c r="M200" i="7" s="1"/>
  <c r="M201" i="7"/>
  <c r="K331" i="7"/>
  <c r="M332" i="7"/>
  <c r="K535" i="7"/>
  <c r="M535" i="7" s="1"/>
  <c r="M536" i="7"/>
  <c r="K1112" i="7"/>
  <c r="M1113" i="7"/>
  <c r="K965" i="7"/>
  <c r="M965" i="7" s="1"/>
  <c r="M966" i="7"/>
  <c r="K128" i="7"/>
  <c r="M129" i="7"/>
  <c r="K303" i="7"/>
  <c r="M303" i="7" s="1"/>
  <c r="M304" i="7"/>
  <c r="K432" i="7"/>
  <c r="M433" i="7"/>
  <c r="K291" i="7"/>
  <c r="M292" i="7"/>
  <c r="K193" i="7"/>
  <c r="M193" i="7" s="1"/>
  <c r="M194" i="7"/>
  <c r="K528" i="7"/>
  <c r="M528" i="7" s="1"/>
  <c r="M529" i="7"/>
  <c r="M551" i="7"/>
  <c r="K550" i="7"/>
  <c r="K495" i="7"/>
  <c r="M495" i="7" s="1"/>
  <c r="M496" i="7"/>
  <c r="K1089" i="7"/>
  <c r="M1090" i="7"/>
  <c r="K360" i="7"/>
  <c r="M360" i="7" s="1"/>
  <c r="M361" i="7"/>
  <c r="K1144" i="7"/>
  <c r="M1144" i="7" s="1"/>
  <c r="M1145" i="7"/>
  <c r="K1104" i="7"/>
  <c r="M1104" i="7" s="1"/>
  <c r="M1105" i="7"/>
  <c r="K1042" i="7"/>
  <c r="M1042" i="7" s="1"/>
  <c r="M1043" i="7"/>
  <c r="K542" i="7"/>
  <c r="M542" i="7" s="1"/>
  <c r="M543" i="7"/>
  <c r="M611" i="7"/>
  <c r="K610" i="7"/>
  <c r="K839" i="7"/>
  <c r="M839" i="7" s="1"/>
  <c r="M840" i="7"/>
  <c r="K393" i="7"/>
  <c r="M393" i="7" s="1"/>
  <c r="K587" i="7"/>
  <c r="M587" i="7" s="1"/>
  <c r="M588" i="7"/>
  <c r="K503" i="7"/>
  <c r="M504" i="7"/>
  <c r="K909" i="7"/>
  <c r="M909" i="7" s="1"/>
  <c r="M917" i="7"/>
  <c r="K957" i="7"/>
  <c r="M957" i="7" s="1"/>
  <c r="M958" i="7"/>
  <c r="K155" i="7"/>
  <c r="M155" i="7" s="1"/>
  <c r="M156" i="7"/>
  <c r="K972" i="7"/>
  <c r="M973" i="7"/>
  <c r="K310" i="7"/>
  <c r="M310" i="7" s="1"/>
  <c r="M311" i="7"/>
  <c r="K859" i="7"/>
  <c r="M859" i="7" s="1"/>
  <c r="M860" i="7"/>
  <c r="K353" i="7"/>
  <c r="M353" i="7" s="1"/>
  <c r="M354" i="7"/>
  <c r="M903" i="7"/>
  <c r="K866" i="7"/>
  <c r="K1152" i="7"/>
  <c r="M1152" i="7" s="1"/>
  <c r="M1153" i="7"/>
  <c r="K431" i="7" l="1"/>
  <c r="M431" i="7" s="1"/>
  <c r="K502" i="7"/>
  <c r="K367" i="7"/>
  <c r="M367" i="7" s="1"/>
  <c r="M375" i="7"/>
  <c r="K1151" i="7"/>
  <c r="M1151" i="7" s="1"/>
  <c r="M1163" i="7"/>
  <c r="K1111" i="7"/>
  <c r="M1111" i="7" s="1"/>
  <c r="M1112" i="7"/>
  <c r="K956" i="7"/>
  <c r="M956" i="7" s="1"/>
  <c r="M972" i="7"/>
  <c r="K549" i="7"/>
  <c r="M549" i="7" s="1"/>
  <c r="M550" i="7"/>
  <c r="K290" i="7"/>
  <c r="M291" i="7"/>
  <c r="M16" i="7"/>
  <c r="K847" i="7"/>
  <c r="M847" i="7" s="1"/>
  <c r="M866" i="7"/>
  <c r="M610" i="7"/>
  <c r="K1088" i="7"/>
  <c r="M1088" i="7" s="1"/>
  <c r="M1089" i="7"/>
  <c r="M432" i="7"/>
  <c r="K330" i="7"/>
  <c r="M330" i="7" s="1"/>
  <c r="M331" i="7"/>
  <c r="K602" i="7"/>
  <c r="M602" i="7" s="1"/>
  <c r="M603" i="7"/>
  <c r="M128" i="7"/>
  <c r="K80" i="7"/>
  <c r="M502" i="7"/>
  <c r="M503" i="7"/>
  <c r="K1035" i="7"/>
  <c r="M1035" i="7" s="1"/>
  <c r="M1049" i="7"/>
  <c r="K601" i="7" l="1"/>
  <c r="M601" i="7" s="1"/>
  <c r="M290" i="7"/>
  <c r="K262" i="7"/>
  <c r="M262" i="7" s="1"/>
  <c r="M80" i="7"/>
  <c r="K27" i="7"/>
  <c r="K26" i="7" l="1"/>
  <c r="M27" i="7"/>
  <c r="M26" i="7" l="1"/>
  <c r="K15" i="7"/>
  <c r="M15" i="7" s="1"/>
</calcChain>
</file>

<file path=xl/sharedStrings.xml><?xml version="1.0" encoding="utf-8"?>
<sst xmlns="http://schemas.openxmlformats.org/spreadsheetml/2006/main" count="9075" uniqueCount="558">
  <si>
    <t>№ п/п</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</si>
  <si>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</si>
  <si>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</si>
  <si>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</si>
  <si>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</si>
  <si>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03</t>
  </si>
  <si>
    <t>04</t>
  </si>
  <si>
    <t>05</t>
  </si>
  <si>
    <t>07</t>
  </si>
  <si>
    <t>Другие общегосударственные вопросы</t>
  </si>
  <si>
    <t>14</t>
  </si>
  <si>
    <t xml:space="preserve">Национальная оборона </t>
  </si>
  <si>
    <t>Мобилизационная подготовка экономики</t>
  </si>
  <si>
    <t>Мероприятия по обеспечению мобилизационной готовности экономики</t>
  </si>
  <si>
    <t>Национальная безопасность и правоохранительная деятельность</t>
  </si>
  <si>
    <t>Национальная экономика</t>
  </si>
  <si>
    <t>Сельское хозяйство и рыболовство</t>
  </si>
  <si>
    <t>08</t>
  </si>
  <si>
    <t>Образование</t>
  </si>
  <si>
    <t>Молодежная политика и оздоровление детей</t>
  </si>
  <si>
    <t>Социальная политика</t>
  </si>
  <si>
    <t>10</t>
  </si>
  <si>
    <t>Межбюджетные трансферты</t>
  </si>
  <si>
    <t>11</t>
  </si>
  <si>
    <t>09</t>
  </si>
  <si>
    <t>Дошкольное образование</t>
  </si>
  <si>
    <t>Общее образование</t>
  </si>
  <si>
    <t>Другие вопросы в области образования</t>
  </si>
  <si>
    <t>Социальное обеспечение населения</t>
  </si>
  <si>
    <t>Охрана семьи и детства</t>
  </si>
  <si>
    <t>06</t>
  </si>
  <si>
    <t>929</t>
  </si>
  <si>
    <t>Отдел по физической культуре и спорту администрации МО Туапсинский район</t>
  </si>
  <si>
    <t>РЗ</t>
  </si>
  <si>
    <t>ПР</t>
  </si>
  <si>
    <t>ЦСР</t>
  </si>
  <si>
    <t>ВР</t>
  </si>
  <si>
    <t>Код бюджетной классификации</t>
  </si>
  <si>
    <t>Вед</t>
  </si>
  <si>
    <t>Наименование</t>
  </si>
  <si>
    <t>ВСЕГО:</t>
  </si>
  <si>
    <t>13</t>
  </si>
  <si>
    <t>Жилищно-коммунальное хозяйство</t>
  </si>
  <si>
    <t>Пенсионное обеспечение</t>
  </si>
  <si>
    <t>Финансовое управление администрации муниципального образования Туапсинский район</t>
  </si>
  <si>
    <t>Обеспечение деятельности финансовых, налоговых и таможенных органов и органов финансового (финансово-бюджетного) надзора</t>
  </si>
  <si>
    <t>Обслуживание государственного и муниципального долга</t>
  </si>
  <si>
    <t>Обслуживание государственного внутреннего и муниципального долга</t>
  </si>
  <si>
    <t>953</t>
  </si>
  <si>
    <t>Другие вопросы в области культуры, кинематографии</t>
  </si>
  <si>
    <t>Управление по опеке и попечительству, вопросам семьи и детства администрации муниципального образования Туапсинский район</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</si>
  <si>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</si>
  <si>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Отдел по делам ГО и ЧС администрации муниципального образования Туапсинский район</t>
  </si>
  <si>
    <t>Расходы на обеспечение функций муниципальных органов</t>
  </si>
  <si>
    <t>Расходы на выплату персоналу в целях обеспечения выполнения функций муниципальными органами, казенными учреждениями</t>
  </si>
  <si>
    <t>100</t>
  </si>
  <si>
    <t>Обеспечение деятельности высшего органа исполнительной власти муниципального образования Туапсинский район</t>
  </si>
  <si>
    <t>200</t>
  </si>
  <si>
    <t>Обеспечение функционирования администрации муниципального образования Туапсинский район</t>
  </si>
  <si>
    <t>Иные бюджетные ассигнования</t>
  </si>
  <si>
    <t>800</t>
  </si>
  <si>
    <t>Осуществление отдельных полномочий Краснодарского края</t>
  </si>
  <si>
    <t>Непрограммные расходы органов исполнительной власти Туапсинского района</t>
  </si>
  <si>
    <t>Финансовое обеспечение непредвиденных расходов</t>
  </si>
  <si>
    <t>400</t>
  </si>
  <si>
    <t>Социальное обеспечение и иные выплаты населению</t>
  </si>
  <si>
    <t>300</t>
  </si>
  <si>
    <t>Обслуживание муниципального долга</t>
  </si>
  <si>
    <t>700</t>
  </si>
  <si>
    <t>500</t>
  </si>
  <si>
    <t>Обеспечение деятельности контрольно-счетной палаты муниципального образования Туапсинский район</t>
  </si>
  <si>
    <t>Управление имущественных отношений администрации муниципального образования Туапсинский район</t>
  </si>
  <si>
    <t>Субсидии бюджетным, автономным учреждениям и иным некоммерческим организациям</t>
  </si>
  <si>
    <t>600</t>
  </si>
  <si>
    <t xml:space="preserve">Расходы на обеспечение функций муниципальных органов </t>
  </si>
  <si>
    <t>Физическая культура и спорт</t>
  </si>
  <si>
    <t>Другие вопросы в области социальной политики</t>
  </si>
  <si>
    <t>Обеспечение деятельности представительного органа местного самоуправления</t>
  </si>
  <si>
    <t>Осуществление отдельных полномочий Краснодарского края по созданию и организации деятельности комиссий по делам несовершеннолетних и защите их прав</t>
  </si>
  <si>
    <t>Резервный фонд администрации муниципального образования Туапсинский район</t>
  </si>
  <si>
    <t>Обеспечение деятельности финансового управления администрации муниципального образования Туапсинский район</t>
  </si>
  <si>
    <t xml:space="preserve">Культура, кинематография </t>
  </si>
  <si>
    <t>Другие вопросы в области физической культуры и спорта</t>
  </si>
  <si>
    <t>Исполнительно-распорядительный орган муниципального образования - администрация муниципального образования Туапсинский район</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</si>
  <si>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</si>
  <si>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</si>
  <si>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Транспорт</t>
  </si>
  <si>
    <t>Другие вопросы в области национальной экономики</t>
  </si>
  <si>
    <t>12</t>
  </si>
  <si>
    <t>Культура, кинематография</t>
  </si>
  <si>
    <t xml:space="preserve">08 </t>
  </si>
  <si>
    <t>Управление капитального строительства администрации муниципального образования Туапсинский район</t>
  </si>
  <si>
    <t>934</t>
  </si>
  <si>
    <t>(тыс. рублей)</t>
  </si>
  <si>
    <t>Контрольно-счетная палата муниципального образования Туапсинский район</t>
  </si>
  <si>
    <t>Капитальные вложения в объекты государственной (муниципальной) собственности</t>
  </si>
  <si>
    <t>Непрограммные расходы</t>
  </si>
  <si>
    <t>00</t>
  </si>
  <si>
    <t>00000</t>
  </si>
  <si>
    <t>00190</t>
  </si>
  <si>
    <t>Компенсационные расходы на выплаты депутатских полномочий</t>
  </si>
  <si>
    <t>Глава муниципального образования Туапсинский район</t>
  </si>
  <si>
    <t>Повышение качества предоставления жилищно-коммунальных услуг на территории муниципального образования Туапсинский район</t>
  </si>
  <si>
    <t>60870</t>
  </si>
  <si>
    <t>52</t>
  </si>
  <si>
    <t>60910</t>
  </si>
  <si>
    <t>18</t>
  </si>
  <si>
    <t>Организация  казачьей деятельности на территории  Туапсинского района</t>
  </si>
  <si>
    <t>Реализация мероприятий в отношении казачества в Туапсинском районе</t>
  </si>
  <si>
    <t>24550</t>
  </si>
  <si>
    <t>Обеспечение деятельности казенных учреждений</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</si>
  <si>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</si>
  <si>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</si>
  <si>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</si>
  <si>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</si>
  <si>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</si>
  <si>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</si>
  <si>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</si>
  <si>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</si>
  <si>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Развитие и совершенствование имущественных и земельных отношений в Туапсинском районе для обеспечения решения задач социально-экономического развития</t>
  </si>
  <si>
    <t>Развитие и координация выставочно-ярмарочной деятельности Туапсинского района, обеспечивающей продвижение его интересов на рынках товаров и услуг</t>
  </si>
  <si>
    <t>24710</t>
  </si>
  <si>
    <t>Реализация основных направлений приоритетного национального проекта «Доступное и комфортное жилье - гражданам России»</t>
  </si>
  <si>
    <t>4</t>
  </si>
  <si>
    <t xml:space="preserve">Комплексное информационное обеспечение деятельности органов местного самоуправления </t>
  </si>
  <si>
    <t>24750</t>
  </si>
  <si>
    <t>19</t>
  </si>
  <si>
    <t>24590</t>
  </si>
  <si>
    <t>Осуществление в установленные сроки и в полном объеме платежей по обслуживанию долговых обязательств Туапсинского района</t>
  </si>
  <si>
    <t>Процентные платежи по муниципальному долгу</t>
  </si>
  <si>
    <t>24430</t>
  </si>
  <si>
    <t>53</t>
  </si>
  <si>
    <t>Обеспечение функционирования финансового управления администрации муниципального образования Туапсинский район</t>
  </si>
  <si>
    <t>10490</t>
  </si>
  <si>
    <t>Выравнивание бюджетной обеспеченности муниципальных образований городских и сельских поселений Туапсинского района</t>
  </si>
  <si>
    <t>54</t>
  </si>
  <si>
    <t>Проведение  реконструкций и капитальных ремонтов на объектах социальной сферы</t>
  </si>
  <si>
    <t>Строительство, реконструкция, модернизация объектов социальной инфраструктуры и обеспечение деятельности муниципального казенного учреждения, предоставляющего услуги в сфере капитального строительства</t>
  </si>
  <si>
    <t>Обеспечение деятельности отдела по делам ГО и ЧС администрации муниципального образования Туапсинский район</t>
  </si>
  <si>
    <t>Финансовое обеспечение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</si>
  <si>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</si>
  <si>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Обеспечение деятельности управления имущественных отношений администрации муниципального образования Туапсинский район</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</si>
  <si>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</si>
  <si>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</si>
  <si>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</si>
  <si>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</si>
  <si>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</si>
  <si>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</si>
  <si>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Развитие сети и инфраструктуры образовательных организаций, обеспечивающих доступ населения Туапсинского района к качественным услугам дошкольного, общего образования и дополнительного образования детей</t>
  </si>
  <si>
    <t>Реализация мер по специальной поддержке отдельных категорий обучающихся</t>
  </si>
  <si>
    <t>24400</t>
  </si>
  <si>
    <t>62370</t>
  </si>
  <si>
    <t>Совершенствование системы организации детского оздоровительного отдыха в муниципальном образовании Туапсинский район</t>
  </si>
  <si>
    <t>24410</t>
  </si>
  <si>
    <t>60710</t>
  </si>
  <si>
    <t>Обеспечение деятельности отдела культуры администрации муниципального образования Туапсинский район</t>
  </si>
  <si>
    <t>2</t>
  </si>
  <si>
    <t>Повышения качества обучения в муниципальных детско-юношеских спортивных школах</t>
  </si>
  <si>
    <t>60740</t>
  </si>
  <si>
    <t>Обеспечение функционирования отдела по физической культуре и спорту администрации муниципального образования Туапсинский район</t>
  </si>
  <si>
    <t>Обеспечение деятельности управления по работе с молодежью администрации муниципального образования Туапсинский район</t>
  </si>
  <si>
    <t>Поддержка детей-сирот</t>
  </si>
  <si>
    <t>Предоставление субсидий бюджетным, автономным учреждениям и иным некоммерческим организациям</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</si>
  <si>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</si>
  <si>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</si>
  <si>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60070</t>
  </si>
  <si>
    <t>Организация и проведение аварийно-спасательных и других неотложных работ при чрезвычайных ситуациях</t>
  </si>
  <si>
    <t>Управление по развитию курортов администрации муниципального образования Туапсинский район</t>
  </si>
  <si>
    <t>947</t>
  </si>
  <si>
    <t xml:space="preserve">Функционирование законодательных (представительных) органов государственной власти и представительных органов муниципальных образований </t>
  </si>
  <si>
    <t>Межбюджетные трансферты общего характера бюджетам бюджетной системы Российской Федерации</t>
  </si>
  <si>
    <t>Дотации на выравнивание бюджетной обеспеченности субъектов Российской Федерации и муниципальных образований</t>
  </si>
  <si>
    <t>Формирование системы оценки качества образования и образовательных результатов</t>
  </si>
  <si>
    <t>20</t>
  </si>
  <si>
    <t>Обеспечение деятельности управления по развитию курортов администрации муниципального образования Туапсинский район</t>
  </si>
  <si>
    <t>Управление образования администрации муниципального образования Туапсинский район</t>
  </si>
  <si>
    <t>Управление по работе с молодежью администрации муниципального образования Туапсинский район</t>
  </si>
  <si>
    <t>3</t>
  </si>
  <si>
    <t>Другие вопросы в области национальной безопасности и правоохранительной деятельности</t>
  </si>
  <si>
    <t>Повышение эффективности мер, направленных на обеспечение общественной безопасности, укреплению правопорядка и профилактики правонарушений</t>
  </si>
  <si>
    <t>Мероприятия по укреплению правопорядка, профилактике правонарушений, усилению борьбы с преступностью</t>
  </si>
  <si>
    <t>Организация и осуществление целенаправленной работы по профилактике распространения наркомании и связанных с ней правонарушений</t>
  </si>
  <si>
    <t xml:space="preserve">18 </t>
  </si>
  <si>
    <t>24540</t>
  </si>
  <si>
    <t>24560</t>
  </si>
  <si>
    <t xml:space="preserve">Расходы на выплаты персоналу в целях обеспечения выполнения функций муниципальными органами, казенными учреждениями, органами управления государственными внебюджетными фондами
</t>
  </si>
  <si>
    <t>21620</t>
  </si>
  <si>
    <t>62500</t>
  </si>
  <si>
    <t>Профилактика террористических проявлений на территории муниципального образования Туапсинский район</t>
  </si>
  <si>
    <t>5</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</si>
  <si>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</si>
  <si>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Частичная компенсация удорожания стоимости питания учащихся дневных муниципальных образовательных организаций</t>
  </si>
  <si>
    <t>24840</t>
  </si>
  <si>
    <t>Социальная выплата компенсационного характера, связанная с оплатой жилого помещения по договору найма (поднайма)</t>
  </si>
  <si>
    <t>24880</t>
  </si>
  <si>
    <t>Подпрограмма «Организация отдыха, оздоровления и занятости детей и подростков»</t>
  </si>
  <si>
    <t>Муниципальная программа «Защита населения и территории от чрезвычайных ситуаций, обеспечение пожарной безопасности»</t>
  </si>
  <si>
    <t>Подпрограмма «Профилактика терроризма на территории муниципального образования Туапсинский район»</t>
  </si>
  <si>
    <t>Муниципальная программа «Развитие образования в муниципальном образовании Туапсинский район»</t>
  </si>
  <si>
    <t>Дополнительное образование детей</t>
  </si>
  <si>
    <t>Управление ЖКХ и ТЭК администрации муниципального образования Туапсинский район</t>
  </si>
  <si>
    <t>Другие вопросы в области жилищно-коммунального хозяйства</t>
  </si>
  <si>
    <t>Обеспечение деятельности управления ЖКХ и ТЭК</t>
  </si>
  <si>
    <t>Мероприятия в рамках управления имуществом Туапсинского района</t>
  </si>
  <si>
    <t>24690</t>
  </si>
  <si>
    <t>Обеспечение деятельности муниципального бюджетного учреждения</t>
  </si>
  <si>
    <t>24810</t>
  </si>
  <si>
    <t>24470</t>
  </si>
  <si>
    <t>Физическое воспитание и физическое развитие граждан посредством организации и проведения (участия) физкультурных мероприятий и массовых спортивных мероприятий</t>
  </si>
  <si>
    <t>24480</t>
  </si>
  <si>
    <t>Продвижение санаторно-курортных и туристских возможностей Туапсинского района с применением рекламно-информационных технологий</t>
  </si>
  <si>
    <t>24800</t>
  </si>
  <si>
    <t>Подпрограмма «Укрепление единства российской нации на территории муниципального образования Туапсинский район»</t>
  </si>
  <si>
    <t>Организация  проведения районных мероприятий по празднованию государственных и международных праздников, памятных дат и исторических событий России, Кубани, Туапсинского района, юбилейных дат предприятий, организаций, прославленных земляков и граждан, внесших значительный вклад в развитие России, Кубани и Туапсинского района</t>
  </si>
  <si>
    <t>24680</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</si>
  <si>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</si>
  <si>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Расходы на обеспечение функций органов местного самоуправления по передаваемым полномочиям поселений (по осуществлению полномочий контрольно-счетного органа)</t>
  </si>
  <si>
    <t>21190</t>
  </si>
  <si>
    <t>Расходы на обеспечение функций органов местного самоуправления по передаваемым полномочиям поселений (по осуществлению внутреннего муниципального финансового контроля)</t>
  </si>
  <si>
    <t>21200</t>
  </si>
  <si>
    <t>Расходы на обеспечение функций органов местного самоуправления по передаваемым полномочиям поселений (по осуществлению полномочий в соответствии с жилищным законодательством)</t>
  </si>
  <si>
    <t>21210</t>
  </si>
  <si>
    <t>21590</t>
  </si>
  <si>
    <t>Расходы на обеспечение деятельности (оказание услуг) муниципальных учреждений по передаваемым полномочиям поселений (по созданию, содержанию и организации деятельности аварийно-спасательных служб и (или) аварийно-спасательных формирований)</t>
  </si>
  <si>
    <t>Расходы на обеспечение деятельности (оказание услуг) муниципальных учреждений по передаваемым полномочиям поселений (на обеспечение безопасности людей на водных объектах, охране их жизни и здоровья)</t>
  </si>
  <si>
    <t>21600</t>
  </si>
  <si>
    <t>21591</t>
  </si>
  <si>
    <t xml:space="preserve">Расходы на обеспечение деятельности (оказание услуг) подведомственных учреждений по передаваемым полномочиям поселений (в части обслуживания, ремонта, установки камер видеонаблюдения) </t>
  </si>
  <si>
    <t>21592</t>
  </si>
  <si>
    <t>21610</t>
  </si>
  <si>
    <t>Муниципальная программа «Развитие жилищно-коммунального хозяйства в муниципальном образовании  Туапсинский район»</t>
  </si>
  <si>
    <t>Муниципальная программа «Функционирование органов местного самоуправления в муниципальном образовании Туапсинский район»</t>
  </si>
  <si>
    <t>Отдельные мероприятия муниципальной программы «Функционирование органов местного самоуправления в муниципальном образовании Туапсинский район»</t>
  </si>
  <si>
    <t xml:space="preserve">Муниципальная программа «Содействие развитию гражданского общества и гармонизации межнациональных отношений» </t>
  </si>
  <si>
    <t>Реализация мероприятий подпрограммы «Укрепление единства российской нации на территории муниципального образования Туапсинский район» муниципальной программы «Содействие развитию гражданского общества и гармонизации межнациональных отношений»</t>
  </si>
  <si>
    <t>Муниципальная программа  «Обеспечение безопасности населения Туапсинского района»</t>
  </si>
  <si>
    <t>Муниципальная программа «Обеспечение безопасности населения Туапсинского района»</t>
  </si>
  <si>
    <t>Подпрограмма «Укрепление правопорядка, профилактика правонарушений, усиление борьбы с преступностью и противодействие коррупции в Туапсинском районе»</t>
  </si>
  <si>
    <t>Муниципальная программа «Экономическое развитие Туапсинского района»</t>
  </si>
  <si>
    <t>Подпрограмма «Формирование инвестиционной привлекательности муниципального образования Туапсинский район»</t>
  </si>
  <si>
    <t>Реализация мероприятий подпрограммы «Формирование инвестиционной привлекательности муниципального образования Туапсинский район» муниципальной программы «Экономическое развитие Туапсинского района»</t>
  </si>
  <si>
    <t>Подпрограмма «Информационное обеспечение населения муниципального образования Туапсинский район»</t>
  </si>
  <si>
    <t>Реализация мероприятий подпрограммы «Информационное обеспечение населения муниципального образования Туапсинский район» муниципальной программы «Экономическое развитие Туапсинского района»</t>
  </si>
  <si>
    <t>Муниципальная программа «Социальная поддержка отдельных категорий граждан муниципального образования Туапсинский район»</t>
  </si>
  <si>
    <t>Отдельные мероприятия муниципальной программы «Социальная поддержка отдельных категорий граждан муниципального образования Туапсинский район»</t>
  </si>
  <si>
    <t>Реализация мероприятий муниципальной программы «Социальная поддержка отдельных категорий граждан муниципального образования Туапсинский район»</t>
  </si>
  <si>
    <t>Подпрограмма «Жилище»</t>
  </si>
  <si>
    <t>Муниципальная программа «Управление муниципальными финансами»</t>
  </si>
  <si>
    <t>Подпрограмма «Управление муниципальным долгом»</t>
  </si>
  <si>
    <t>Муниципальная программа  «Функционирование органов местного самоуправления в муниципальном образовании Туапсинский район»</t>
  </si>
  <si>
    <t>Подпрограмма «Совершенствование межбюджетных отношений в Туапсинском районе»</t>
  </si>
  <si>
    <t>Муниципальная программа «Туапсинский район - территория комфортного проживания»</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</si>
  <si>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</si>
  <si>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</si>
  <si>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</si>
  <si>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</si>
  <si>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Обеспечение деятельности муниципального бюджетного учреждения «Комитет земельных отношений»</t>
  </si>
  <si>
    <t>Реализация мероприятий муниципальной программы «Управление муниципальной собственностью»</t>
  </si>
  <si>
    <t>Отдельные мероприятия муниципальной программы «Развитие жилищно-коммунального хозяйства в муниципальном образовании Туапсинский район»</t>
  </si>
  <si>
    <t>Отдельные мероприятия муниципальной программы «Развитие образования в муниципальном образовании Туапсинский район»</t>
  </si>
  <si>
    <t>Финансирование расходных обязательств по заработной плате с учетом начислений АНО «Комбинат социального питания»</t>
  </si>
  <si>
    <t>Реализация мероприятий подпрограммы «Профилактика терроризма на территории муниципального образования Туапсинский район» муниципальной программы «Защита населения и территории от чрезвычайных ситуаций, обеспечение пожарной безопасности»</t>
  </si>
  <si>
    <t>Муниципальная программа «Развитие культуры в Туапсинском районе»</t>
  </si>
  <si>
    <t>Отдельные мероприятия муниципальной программы «Развитие культуры в Туапсинском районе»</t>
  </si>
  <si>
    <t>Совершенствование деятельности муниципальных учреждений дополнительного образования отрасли «Культура» Туапсинского района»</t>
  </si>
  <si>
    <t>Развитие системы морального и материального стимулирования работников отрасли культуры, повышение престижа и социального статуса работников отрасли «Культура» Туапсинского района</t>
  </si>
  <si>
    <t>Социальные выплаты, связанные с оплатой жилого помещения по договору найма (поднайма) педагогам учреждений дополнительного образования отрасли «Культура»</t>
  </si>
  <si>
    <t xml:space="preserve">Обеспечение деятельности муниципального казенного учреждения культуры «Туапсинский районный организационно-методический центр» </t>
  </si>
  <si>
    <t>Муниципальная программа «Развитие физической культуры и спорта в Туапсинском районе»</t>
  </si>
  <si>
    <t>Подпрограмма «Развитие детско-юношеского спорта»</t>
  </si>
  <si>
    <t>Реализация мероприятий подпрограммы «Развитие детско-юношеского спорта» муниципальной программы «Развитие физической культуры и спорта в Туапсинском районе»</t>
  </si>
  <si>
    <t>Подпрограмма «Развитие массового спорта»</t>
  </si>
  <si>
    <t>Реализация мероприятий подпрограммы «Развитие массового спорта» муниципальной программы «Развитие физической культуры и спорта в Туапсинском районе»</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</si>
  <si>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</si>
  <si>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Муниципальная программа «Молодежь Туапсинского района»</t>
  </si>
  <si>
    <t>Отдельные мероприятия муниципальной программы «Молодежь Туапсинского района»</t>
  </si>
  <si>
    <t>Муниципальная программа «Развитие санаторно-курортного и туристского комплекса муниципального образования Туапсинский район»</t>
  </si>
  <si>
    <t>Отдельные мероприятия муниципальной программы «Развитие санаторно-курортного и туристского комплекса муниципального образования Туапсинский район»</t>
  </si>
  <si>
    <t>Обеспечение деятельности и организация работы муниципального бюджетного учреждения «Центр развития пляжного отдыха и туризма Туапсинского района»</t>
  </si>
  <si>
    <t>Реализация мероприятий муниципальной программы «Развитие санаторно-курортного и туристского комплекса муниципального образования Туапсинский район»</t>
  </si>
  <si>
    <t>Муниципальная программа «По улучшению положения детей в муниципальном образовании Туапсинский район»</t>
  </si>
  <si>
    <t>Подпрограмма «Дети-сироты»</t>
  </si>
  <si>
    <t>Обеспечение деятельности управления капитального строительства администрации муниципального образования Туапсинский район</t>
  </si>
  <si>
    <t>Подпрограмма «Кадровое обеспечение отрасли «Культура» муниципального образования Туапсинский район»</t>
  </si>
  <si>
    <t>24900</t>
  </si>
  <si>
    <t>Укрепление межрегиональных и межмуниципальных отношений в области курортного дела и туризма</t>
  </si>
  <si>
    <t>Реализация мероприятий по Укреплению межрегиональных и межмуниципальных отношений в области курортного дела и туризма</t>
  </si>
  <si>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</si>
  <si>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</si>
  <si>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</si>
  <si>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</si>
  <si>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60220</t>
  </si>
  <si>
    <t>Расходы на обеспечение деятельности (оказание услуг) муниципальных учреждений по передаваемым полномочиям поселений (в части обеспечения первичных мер пожарной безопасности)</t>
  </si>
  <si>
    <t>21593</t>
  </si>
  <si>
    <t>Расходы на обеспечение деятельности (оказание услуг) подведомственных учреждений по передаваемым полномочиям поселений (в части создания и содержания единой дежурно-диспетчерской службы)</t>
  </si>
  <si>
    <t>Реализация расходных обязательств по выравниванию бюджетной обеспеченности поселений из районного фонда финансовой поддержки</t>
  </si>
  <si>
    <t>23030</t>
  </si>
  <si>
    <t>Реализация мероприятий по обеспечению жильем молодых семей</t>
  </si>
  <si>
    <t>L4970</t>
  </si>
  <si>
    <t>Создание условий для поддержания благосостояния отдельных категорий граждан и повышение доступности социального обслуживания населения</t>
  </si>
  <si>
    <t>Культура</t>
  </si>
  <si>
    <t>Обеспечение условий для художественного творчества и инновационной деятельности муниципальных учреждений отрасли «Культура»</t>
  </si>
  <si>
    <t>24460</t>
  </si>
  <si>
    <t>17</t>
  </si>
  <si>
    <t>Повышение уровня доступности приоритетных объектов и услуг для инвалидов и маломобильных групп населения в муниципальном образовании</t>
  </si>
  <si>
    <t>Подпрограмма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t>
  </si>
  <si>
    <t>Поддержка общественно полезных программ общественных объединений, направленных на формирование и укрепление гражданского общества</t>
  </si>
  <si>
    <t>24700</t>
  </si>
  <si>
    <t>24330</t>
  </si>
  <si>
    <t>Расходы на обеспечение функций органов местного самоуправления по передаваемым полномочиям поселений (по осуществлению полномочий в области строительства, архитектуры, градостроительства и муниципального земельного контроля)</t>
  </si>
  <si>
    <t>21180</t>
  </si>
  <si>
    <t>Отдел культуры администрации муниципального образования Туапсинский район</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</si>
  <si>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</si>
  <si>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24420</t>
  </si>
  <si>
    <t>Муниципальная программа  «Туапсинский район - территория комфортного проживания»</t>
  </si>
  <si>
    <t xml:space="preserve">Предоставление субсидий бюджетным, автономным учреждениям и иным некоммерческим организациям
</t>
  </si>
  <si>
    <t>24790</t>
  </si>
  <si>
    <t>Совершенствование противопожарной защиты населения и объектов инфраструктуры</t>
  </si>
  <si>
    <t>Муниципальная программа  «Защита населения и территории от чрезвычайных ситуаций, обеспечение пожарной безопасности»</t>
  </si>
  <si>
    <t>24640</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</si>
  <si>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</si>
  <si>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</si>
  <si>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</si>
  <si>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</si>
  <si>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</si>
  <si>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</si>
  <si>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</si>
  <si>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</si>
  <si>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</si>
  <si>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21240</t>
  </si>
  <si>
    <t>Прочие выплаты по обязательствам муниципального образования</t>
  </si>
  <si>
    <t>Поддержка мер по обеспечению сбалансированности поселений Туапсинского района</t>
  </si>
  <si>
    <t>Дотации на поддержку мер по обеспечению сбалансированности поселений Туапсинского района</t>
  </si>
  <si>
    <t>23040</t>
  </si>
  <si>
    <t>Муниципальная программа  «Управление муниципальными финансами»</t>
  </si>
  <si>
    <t>24850</t>
  </si>
  <si>
    <t>24920</t>
  </si>
  <si>
    <t>Создание благоприятных условий для развития малого и среднего предпринимательства в Туапсинском район</t>
  </si>
  <si>
    <t>24610</t>
  </si>
  <si>
    <t>24600</t>
  </si>
  <si>
    <t>Создание условий для развития и реализации гражданского становления, потенциала молодежи в муниципальном образовании Туапсинский район</t>
  </si>
  <si>
    <t>S2820</t>
  </si>
  <si>
    <t>Осуществление отдельных государственных полномочий Краснодарского края по поддержке сельскохозяйственного производства</t>
  </si>
  <si>
    <t>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 в границах поселения</t>
  </si>
  <si>
    <t>Предоставление субсидий на учреждения деятельность которых приостановлена</t>
  </si>
  <si>
    <t>24370</t>
  </si>
  <si>
    <t>Обеспечение проведения независимой оценки качества условий осуществления образовательной деятельности</t>
  </si>
  <si>
    <t>Обеспечение жилыми помещениями детей-сирот и детей, оставшихся без попечения родителей, а также лиц из их числа</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</si>
  <si>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t>
  </si>
  <si>
    <t>63110</t>
  </si>
  <si>
    <t>Расходы на выплаты персоналу в целях обеспечения выполнения функций муниципальными органами, казенными учреждениями, органами управления государственными внебюджетными фондами</t>
  </si>
  <si>
    <t>Реализация мероприятий муниципальной программы «Туапсинский район - территория комфортного проживания»</t>
  </si>
  <si>
    <t>Реализация мероприятий подпрограммы «Обеспечение пожарной безопасности» муниципальной программы «Защита населения и территории от чрезвычайных ситуаций, обеспечение пожарной безопасности»</t>
  </si>
  <si>
    <t>L3040</t>
  </si>
  <si>
    <t>S0470</t>
  </si>
  <si>
    <t>Подпрограмма «Поддержка социально ориентированных реестровых казачьих обществ Туапсинского района»</t>
  </si>
  <si>
    <t>Защита населения и территории от чрезвычайных ситуаций природного и техногенного характера, пожарная безопасность</t>
  </si>
  <si>
    <t>Подпрограмма  «Поддержка малого и среднего предпринимательства на территории муниципального образования Туапсинский район»</t>
  </si>
  <si>
    <t>Реализация мероприятий подпрограммы «Поддержка малого и среднего предпринимательства на территории муниципального образования Туапсинский район»</t>
  </si>
  <si>
    <t>Муниципальная программа «Содействие развитию гражданского общества и гармонизации межнациональных отношений»</t>
  </si>
  <si>
    <t>Реализация мероприятий муниципальной программы «Развитие образования в муниципальном образовании Туапсинский район»</t>
  </si>
  <si>
    <t>Подпрограмма «Культура Туапсинского района»</t>
  </si>
  <si>
    <t>Реализация мероприятий  подпрограммы «Культура Туапсинского района» муниципальной программы «Развитие культуры Туапсинского района»</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</si>
  <si>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</si>
  <si>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Реализация мероприятий муниципальной программы «Молодежь Туапсинского района»</t>
  </si>
  <si>
    <t>Финансирование расходных обязательств услуги по организации питания (наценка) обучающихся по образовательным программам начального общего образования в муниципальных образовательных организациях</t>
  </si>
  <si>
    <t>С3040</t>
  </si>
  <si>
    <t>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t>
  </si>
  <si>
    <t>Реализация мер по обеспечению доступа населения Туапсинского района к качественным услугам дошкольного, общего образования и дополнительного образования детей</t>
  </si>
  <si>
    <t>Организация подвоза обучающихся, проживающих на территории Туапсинского района, в муниципальные образования Краснодарского края</t>
  </si>
  <si>
    <t xml:space="preserve">01 </t>
  </si>
  <si>
    <t>27000</t>
  </si>
  <si>
    <t>Государственная поддержка отрасли культуры</t>
  </si>
  <si>
    <t>24571</t>
  </si>
  <si>
    <t>Диспансеризация сотрудников отраслевых (функциональных) органов</t>
  </si>
  <si>
    <t>Профессиональная подготовка, переподготовка и повышение квалификации</t>
  </si>
  <si>
    <t>24572</t>
  </si>
  <si>
    <t>Обучение сотрудников отраслевых (функциональных) органов</t>
  </si>
  <si>
    <t>Укрепление материально-технической базы и оборотных средств отраслевых (функциональных) органов</t>
  </si>
  <si>
    <t>24574</t>
  </si>
  <si>
    <t>24573</t>
  </si>
  <si>
    <t>Приобретение системного программного обеспечения и техническое сопровождение программных продуктов</t>
  </si>
  <si>
    <t>S3550</t>
  </si>
  <si>
    <t>Осуществление отдельных государственных полномочий по обеспечению бесплатным двухразовым питанием детей 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</si>
  <si>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63540</t>
  </si>
  <si>
    <t>00591</t>
  </si>
  <si>
    <t>Обеспечение функционирования модели персонифицированного финансирования дополнительного образования детей</t>
  </si>
  <si>
    <t>69200</t>
  </si>
  <si>
    <t>69120</t>
  </si>
  <si>
    <t>69100</t>
  </si>
  <si>
    <t>69130</t>
  </si>
  <si>
    <t>69190</t>
  </si>
  <si>
    <t>69180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</si>
  <si>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</si>
  <si>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69170</t>
  </si>
  <si>
    <t>Расходы на обеспечение деятельности (оказание услуг) подведомственных учреждений по передаваемым полномочиям поселений (содержания сегмента системы обеспечения вызова экстренных оперативных служб по единому номеру «112»)</t>
  </si>
  <si>
    <t>21594</t>
  </si>
  <si>
    <t>Управление транспорта и дорожного хозяйства администрации муниципального образования Туапсинский район</t>
  </si>
  <si>
    <t>Обеспечение деятельности управления транспорта и дорожного хозяйства администрации муниципального образования Туапсинский район</t>
  </si>
  <si>
    <t>Расходы на обеспечение деятельности (оказание услуг) муниципальных учреждений, в том числе по передаваемым полномочиям поселений (в части создания резерва материальных ресурсов)</t>
  </si>
  <si>
    <t>63640</t>
  </si>
  <si>
    <t>Осуществление отдельного государственного полномочия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</si>
  <si>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Прочие межбюджетные трансферты общего характера</t>
  </si>
  <si>
    <t>69110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</si>
  <si>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</si>
  <si>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69140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</si>
  <si>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</si>
  <si>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69160</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</si>
  <si>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</si>
  <si>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Коммунальное хозяйство</t>
  </si>
  <si>
    <t>S0100</t>
  </si>
  <si>
    <t>24980</t>
  </si>
  <si>
    <t>Организация бесплатного питания детей мобилизованных граждан</t>
  </si>
  <si>
    <t>Организация и проведение социально значимых мероприятий, направленных на поддержку семей и детей, укрепление семейных ценностей и традиций</t>
  </si>
  <si>
    <t>24620</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</si>
  <si>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</si>
  <si>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ЕВ</t>
  </si>
  <si>
    <t>57860</t>
  </si>
  <si>
    <t>Спорт высших достижений</t>
  </si>
  <si>
    <t>Обеспечение проведения выборов и референдумов</t>
  </si>
  <si>
    <t>51</t>
  </si>
  <si>
    <t>Проведение выборов в Совет муниципального образования Туапсинский район</t>
  </si>
  <si>
    <t>Проведение выборов в представительный орган местного самоуправления муниципального образования Туапсинский район</t>
  </si>
  <si>
    <t>12030</t>
  </si>
  <si>
    <t>Начальник финансового управления 
администрации муниципального 
образования Туапсинский район</t>
  </si>
  <si>
    <t>Финансирование расходных обязательств по укреплению материально-технической базы (технологического, холодильного, пищевого оборудования), мебель для школьных и детских столовых. Приобретение специализированного транспорта для осуществления подвоза горячего питания, а так же приобретение прочих материальных запасов</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</si>
  <si>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</si>
  <si>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Федеральный проект «Патриотическое воспитание граждан Российской Федерации»</t>
  </si>
  <si>
    <t>Подпрограмма «Дети и семья»</t>
  </si>
  <si>
    <t>Реализация мероприятий подпрограммы «Организация отдыха, оздоровления и занятости детей и подростков« муниципальной программы «По улучшению положения детей в муниципальном образовании Туапсинский район»</t>
  </si>
  <si>
    <t>Обеспечение деятельности и организация работы муниципального казенного учреждения «Молодежный центр Туапсинского района»</t>
  </si>
  <si>
    <t>Муниципальная программа «Обеспечение перевозок обучающихся в образовательных учреждениях и учреждениях социальной сферы»</t>
  </si>
  <si>
    <t>Отдельные мероприятия муниципальной программы «Обеспечение перевозок обучающихся в образовательных учреждениях и учреждениях социальной сферы»</t>
  </si>
  <si>
    <t>24770</t>
  </si>
  <si>
    <t>6</t>
  </si>
  <si>
    <t>Муниципальная программа "Экономическое развитие Туапсинского района"</t>
  </si>
  <si>
    <t xml:space="preserve"> Подпрограмма "Развитие агропромышленного комплекса на территории муниципального образования Туапсинский район"</t>
  </si>
  <si>
    <t>Реализация мероприятий  подпрограммы «Развитие агропромышленного комплекса на территории муниципального образования Туапсинский район»</t>
  </si>
  <si>
    <t>Комплексные кадастровые работы на территории муниципального образования Туапсинский район</t>
  </si>
  <si>
    <t>Муниципальная программа "Развитие жилищно-коммунального хозяйства в муниципальном образовании  Туапсинский район"</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</si>
  <si>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</si>
  <si>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</si>
  <si>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Резервные фонды</t>
  </si>
  <si>
    <t>Поддержка сельскохозяйственного производства в Туапсинском районе</t>
  </si>
  <si>
    <t xml:space="preserve">Подпрограмма « Культура Туапсинского района» </t>
  </si>
  <si>
    <t>L5190</t>
  </si>
  <si>
    <t>Комплектование книжных фондов муниципальных общедоступных библиотек Туапсинского района</t>
  </si>
  <si>
    <t>Обеспечение автономными дымовыми пожарными извещателями мест проживания малоимущих многодетных семей и семей, находящихся в трудной жизненной ситуации, в социально опасном положении</t>
  </si>
  <si>
    <t>Архитектура и градостроительство</t>
  </si>
  <si>
    <t>Реализация мероприятий в области архитектуры и градостроительства</t>
  </si>
  <si>
    <t>25000</t>
  </si>
  <si>
    <t>Физическая культура</t>
  </si>
  <si>
    <t>Развитие общественной инфраструктуры муниципального значения сверх сумм софинансирования</t>
  </si>
  <si>
    <t>С0470</t>
  </si>
  <si>
    <t xml:space="preserve">Закупка товаров, работ и услуг для обеспечения государственных (муниципальных) нужд
</t>
  </si>
  <si>
    <t>R3032</t>
  </si>
  <si>
    <t>Проведение комплексных кадастровых работ</t>
  </si>
  <si>
    <t>L5110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</si>
  <si>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</si>
  <si>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</si>
  <si>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А0820</t>
  </si>
  <si>
    <t>Подпрограмма «Гармонизация межнациональных отношений и развития национальных культур муниципального образования Туапсинский район»</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</si>
  <si>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района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</si>
  <si>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район» муниципальной программы «Содействие развитию гражданского общества и гармонизации межнациональных отношений»</t>
  </si>
  <si>
    <t>24670</t>
  </si>
  <si>
    <t xml:space="preserve">Муниципальная программа  «Содействие развитию гражданского общества и гармонизации межнациональных отношений» </t>
  </si>
  <si>
    <t>Финансирование расходных обязательств по укреплению материально-технической базы (приобретение оборудования и мебели)</t>
  </si>
  <si>
    <t>24390</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</si>
  <si>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(проведение капитального ремонта спортивных залов муниципальных общеобразовательных организаций, помещений при них, других помещений физкультурно- спортивного назначения, физкультурно- оздоровительных комплексов) сверх сумм софинансирования</t>
  </si>
  <si>
    <t>C0100</t>
  </si>
  <si>
    <t>S3570</t>
  </si>
  <si>
    <t>Участие в образовательных программах, направленных на повышение уровня привлекательности и популяризации курортов Туапсинского района</t>
  </si>
  <si>
    <t>62590</t>
  </si>
  <si>
    <t>Средства резервного фонда администрации Краснодарского края</t>
  </si>
  <si>
    <t>62980</t>
  </si>
  <si>
    <t>Дополнительная помощь местным бюджетам для решения социально значимых вопросов местного значения</t>
  </si>
  <si>
    <t>Предоставление мер социальной поддержки детям, родители (законные представители) которых участвуют в СВО на территории ЛНР, ДНР, Запорожской области, Херсонской области и Украины, осваивающие образовательные программы дополнительного образования в учреждениях дополнительного образования</t>
  </si>
  <si>
    <t>00592</t>
  </si>
  <si>
    <t>Подготовка документации по планировке территории (проекта планировки территории и проекта межевания территории) муниципальных образований Краснодарского края</t>
  </si>
  <si>
    <t>S0170</t>
  </si>
  <si>
    <t>Приведение в соответствие с требованиями законодательства генеральных планов и правил землепользования и застройки городских и сельских поселений муниципального образования Туапсинский район</t>
  </si>
  <si>
    <t>А0470</t>
  </si>
  <si>
    <t xml:space="preserve">Резервный фонд администрации Краснодарского края
</t>
  </si>
  <si>
    <t>S2400</t>
  </si>
  <si>
    <t>Переподготовка, повышение профессиональной квалификации, краткосрочные курсы, чтения, семинары для системы образования медицинских работников муниципальных дошкольных образовательных организаций, работников пищеблоков и прочих</t>
  </si>
  <si>
    <t>24340</t>
  </si>
  <si>
    <t>S0640</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</si>
  <si>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</si>
  <si>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60960</t>
  </si>
  <si>
    <t>Здравоохранение</t>
  </si>
  <si>
    <t>Амбулаторная помощь</t>
  </si>
  <si>
    <t>62955</t>
  </si>
  <si>
    <t>Внедрение и развитие инструментов инициативного бюджетирования на территории Туапсинский район</t>
  </si>
  <si>
    <t>Поддержка местных инициатив по итогам краевого конкурса</t>
  </si>
  <si>
    <t xml:space="preserve">администрации муниципального </t>
  </si>
  <si>
    <t xml:space="preserve">образования Туапсинский район     </t>
  </si>
  <si>
    <t>Развитие и поддержка одаренных детей</t>
  </si>
  <si>
    <t>24760</t>
  </si>
  <si>
    <t>Резервный фонд администрации Краснодарского края (сверх сумм софинансирования)</t>
  </si>
  <si>
    <t>С2400</t>
  </si>
  <si>
    <t>S2690</t>
  </si>
  <si>
    <t>Приобретение спортивно-технологического оборудования, инвентаря и экипировки для муниципальных учреждений дополнительного образования отрасли "Физическая культура и спорт", реализующих дополнительные образовательные программы спортивной подготовки в соответствии с федеральными стандартами спортивной подготовки по базовым видам спорта</t>
  </si>
  <si>
    <t>Обеспечение мерами социальной поддержки граждан Российской Федерации, заключивших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района</t>
  </si>
  <si>
    <t>Оказание разовой помощи гражданам Российской Федерации, заключившим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района</t>
  </si>
  <si>
    <t>Реализация мероприятий подпрограммы «Обеспечение пожарной безопасности« муниципальной программы «Защита населения и территории от чрезвычайных ситуаций, обеспечение пожарной безопасности»</t>
  </si>
  <si>
    <t xml:space="preserve">Муниципальная программа «Доступная среда муниципального образования Туапсинский район» </t>
  </si>
  <si>
    <t xml:space="preserve">Отдельные мероприятия муниципальной программы «Доступная среда муниципального образования Туапсинский район» </t>
  </si>
  <si>
    <t>Реализация мероприятий муниципальной программы «Доступная среда муниципального образования Туапсинский район»</t>
  </si>
  <si>
    <t>Единовременная выплата для молодых педагогических работников</t>
  </si>
  <si>
    <t>21630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</si>
  <si>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территорий, прилегающих к зданиям и сооружениям)</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</si>
  <si>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</si>
  <si>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Строительство, реконструкцию (в том числе реконструкцию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</si>
  <si>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Строительство, реконструкцию (в том числе реконструкцию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</si>
  <si>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</si>
  <si>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Начальник финансового управления</t>
  </si>
  <si>
    <t>Ю.Н. Кулакова</t>
  </si>
  <si>
    <t>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</si>
  <si>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</si>
  <si>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Организация бесплатного горячего питания обучающихся, получающих начальное общего образования в государственных и муниципальных образовательных организациях</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</si>
  <si>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</si>
  <si>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 xml:space="preserve">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
</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</si>
  <si>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</si>
  <si>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Обеспечение условий для развития физической культуры и массового спорта в части оплаты труда инструкторов по спорту</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</si>
  <si>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участия в обеспечении подготовки спортивного резерва для спортивных сборных команд Краснодарского края, на укрепление материально-технической базы муниципальных физкультурно-спортивных организаций</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</si>
  <si>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</si>
  <si>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Расходы на компенсационные выплаты работникам органов местного самоуправления и другие расходы, связанные с преобразованием муниципальных образований, упразднением поселений в соответствии со статьями 13 и 13(1) Федерального закона № 131-ФЗ</t>
  </si>
  <si>
    <t>00390</t>
  </si>
  <si>
    <t>Социальная поддержка отдельных категорий медицинских работников, работающих в государственных организациях</t>
  </si>
  <si>
    <t>Предоставление доплаты приглашенным специалистам в государственные бюджетные учреждения здравоохранения министерства здравоохранения Краснодарского края, расположенные на территории муниципального образования Туапсинский район</t>
  </si>
  <si>
    <t>25400</t>
  </si>
  <si>
    <t>24300</t>
  </si>
  <si>
    <t>Обеспечение учреждений социальной сферы приборами учета тепловой энергии</t>
  </si>
  <si>
    <t>24520</t>
  </si>
  <si>
    <t>Совет муниципального образования Туапсинский муниципальный округ Краснодарского края</t>
  </si>
  <si>
    <t>Выполнение работ по топографической съемке и изготовлению схемы по кадастровом плане территории</t>
  </si>
  <si>
    <t>24100</t>
  </si>
  <si>
    <t>24200</t>
  </si>
  <si>
    <t>Выполнение строительно-монтажных работ по обустройству контейнерных площадок</t>
  </si>
  <si>
    <t>20910</t>
  </si>
  <si>
    <t>Дополнительное финансирование отдельных государственных полномочий Краснодарского края по поддержке сельскохозяйственного производства</t>
  </si>
  <si>
    <t>29200</t>
  </si>
  <si>
    <t>Дополнительное финансирование отдельных полномочий Краснодарского края по созданию и организации деятельности комиссий по делам несовершеннолетних и защите их прав</t>
  </si>
  <si>
    <t>20870</t>
  </si>
  <si>
    <t>Дополнительное финансирование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</si>
  <si>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29180</t>
  </si>
  <si>
    <t>29190</t>
  </si>
  <si>
    <t>Дополнительное финансирование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</si>
  <si>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Исполнено</t>
  </si>
  <si>
    <t>Утверждено в бюджете</t>
  </si>
  <si>
    <t>%     исполнения</t>
  </si>
  <si>
    <t>ИСПОЛНЕНИЕ</t>
  </si>
  <si>
    <t>Реализация мероприятий подпрограммы «Дети и семья» муниципальной программы «По улучшению положения детей в муниципальном образовании Туапсинский район»</t>
  </si>
  <si>
    <t>Дополнительное финансирование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</si>
  <si>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</si>
  <si>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Реализация мер популяризации среди детей и молодежи научно образовательной и творческой деятельности, выявление талантливой молодежи</t>
  </si>
  <si>
    <t xml:space="preserve">по расходам муниципального образования Туапсинский                                                                                                                                   район по ведомственной структуре расходов бюджета                                                                                                                                                                               за 2024 год </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</si>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</sst>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р_._-;\-* #,##0.00_р_._-;_-* &quot;-&quot;??_р_._-;_-@_-"/>
    <numFmt numFmtId="164" formatCode="_-* #,##0.00\ _₽_-;\-* #,##0.00\ _₽_-;_-* &quot;-&quot;??\ _₽_-;_-@_-"/>
    <numFmt numFmtId="165" formatCode="#,##0.0"/>
    <numFmt numFmtId="166" formatCode="#,##0.00&quot;р.&quot;"/>
    <numFmt numFmtId="167" formatCode="0.0"/>
  </numFmts>
  <fonts count="40"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4"/>
      <name val="Arial Cyr"/>
      <charset val="204"/>
    </font>
    <font>
      <sz val="14"/>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sz val="11"/>
      <name val="Arial Cyr"/>
      <charset val="204"/>
    </font>
    <font>
      <sz val="11"/>
      <name val="Times New Roman"/>
      <family val="1"/>
      <charset val="204"/>
    </font>
    <font>
      <b/>
      <sz val="14"/>
      <name val="Times New Roman"/>
      <family val="1"/>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94">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7" borderId="1" applyNumberFormat="0" applyAlignment="0" applyProtection="0"/>
    <xf numFmtId="0" fontId="19" fillId="20" borderId="2" applyNumberFormat="0" applyAlignment="0" applyProtection="0"/>
    <xf numFmtId="0" fontId="20" fillId="20" borderId="1" applyNumberFormat="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0" borderId="6" applyNumberFormat="0" applyFill="0" applyAlignment="0" applyProtection="0"/>
    <xf numFmtId="0" fontId="25" fillId="21" borderId="7" applyNumberFormat="0" applyAlignment="0" applyProtection="0"/>
    <xf numFmtId="0" fontId="26" fillId="0" borderId="0" applyNumberFormat="0" applyFill="0" applyBorder="0" applyAlignment="0" applyProtection="0"/>
    <xf numFmtId="0" fontId="27" fillId="22" borderId="0" applyNumberFormat="0" applyBorder="0" applyAlignment="0" applyProtection="0"/>
    <xf numFmtId="0" fontId="28" fillId="3" borderId="0" applyNumberFormat="0" applyBorder="0" applyAlignment="0" applyProtection="0"/>
    <xf numFmtId="0" fontId="29" fillId="0" borderId="0" applyNumberFormat="0" applyFill="0" applyBorder="0" applyAlignment="0" applyProtection="0"/>
    <xf numFmtId="0" fontId="13" fillId="23" borderId="8" applyNumberFormat="0" applyFont="0" applyAlignment="0" applyProtection="0"/>
    <xf numFmtId="0" fontId="30" fillId="0" borderId="9" applyNumberFormat="0" applyFill="0" applyAlignment="0" applyProtection="0"/>
    <xf numFmtId="0" fontId="31" fillId="0" borderId="0" applyNumberFormat="0" applyFill="0" applyBorder="0" applyAlignment="0" applyProtection="0"/>
    <xf numFmtId="43" fontId="33" fillId="0" borderId="0" applyFont="0" applyFill="0" applyBorder="0" applyAlignment="0" applyProtection="0"/>
    <xf numFmtId="0" fontId="32" fillId="4" borderId="0" applyNumberFormat="0" applyBorder="0" applyAlignment="0" applyProtection="0"/>
    <xf numFmtId="0" fontId="34" fillId="0" borderId="0"/>
    <xf numFmtId="0" fontId="35" fillId="0" borderId="0"/>
    <xf numFmtId="9" fontId="33" fillId="0" borderId="0" applyFont="0" applyFill="0" applyBorder="0" applyAlignment="0" applyProtection="0"/>
    <xf numFmtId="0" fontId="35" fillId="0" borderId="0"/>
    <xf numFmtId="43" fontId="13" fillId="0" borderId="0" applyFont="0" applyFill="0" applyBorder="0" applyAlignment="0" applyProtection="0"/>
    <xf numFmtId="0" fontId="12" fillId="0" borderId="0"/>
    <xf numFmtId="9" fontId="13" fillId="0" borderId="0" applyFont="0" applyFill="0" applyBorder="0" applyAlignment="0" applyProtection="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8" fillId="0" borderId="0"/>
    <xf numFmtId="0" fontId="8" fillId="0" borderId="0"/>
    <xf numFmtId="0" fontId="7" fillId="0" borderId="0"/>
    <xf numFmtId="0" fontId="7" fillId="0" borderId="0"/>
    <xf numFmtId="0" fontId="6" fillId="0" borderId="0"/>
    <xf numFmtId="0" fontId="6" fillId="0" borderId="0"/>
    <xf numFmtId="0" fontId="5" fillId="0" borderId="0"/>
    <xf numFmtId="0" fontId="5" fillId="0" borderId="0"/>
    <xf numFmtId="0" fontId="4" fillId="0" borderId="0"/>
    <xf numFmtId="0" fontId="4" fillId="0" borderId="0"/>
    <xf numFmtId="0" fontId="3" fillId="0" borderId="0"/>
    <xf numFmtId="0" fontId="3" fillId="0" borderId="0"/>
    <xf numFmtId="164" fontId="13"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6">
    <xf numFmtId="0" fontId="0" fillId="0" borderId="0" xfId="0"/>
    <xf numFmtId="0" fontId="14" fillId="24" borderId="0" xfId="0" applyFont="1" applyFill="1" applyAlignment="1">
      <alignment horizontal="center" vertical="top"/>
    </xf>
    <xf numFmtId="49" fontId="14" fillId="24" borderId="0" xfId="0" applyNumberFormat="1" applyFont="1" applyFill="1" applyAlignment="1">
      <alignment horizontal="center" vertical="top"/>
    </xf>
    <xf numFmtId="49" fontId="15" fillId="24" borderId="0" xfId="0" applyNumberFormat="1" applyFont="1" applyFill="1" applyBorder="1" applyAlignment="1">
      <alignment horizontal="center" vertical="top"/>
    </xf>
    <xf numFmtId="0" fontId="15" fillId="24" borderId="0" xfId="0" applyFont="1" applyFill="1" applyBorder="1" applyAlignment="1">
      <alignment horizontal="center" vertical="top"/>
    </xf>
    <xf numFmtId="49" fontId="36" fillId="24" borderId="10" xfId="0" applyNumberFormat="1" applyFont="1" applyFill="1" applyBorder="1" applyAlignment="1" applyProtection="1">
      <alignment horizontal="center" vertical="top" wrapText="1"/>
      <protection locked="0"/>
    </xf>
    <xf numFmtId="0" fontId="14" fillId="24" borderId="0" xfId="0" applyFont="1" applyFill="1" applyAlignment="1">
      <alignment horizontal="right" vertical="top"/>
    </xf>
    <xf numFmtId="0" fontId="14" fillId="24" borderId="0" xfId="0" applyFont="1" applyFill="1" applyAlignment="1">
      <alignment vertical="top"/>
    </xf>
    <xf numFmtId="49" fontId="36" fillId="24" borderId="10" xfId="0" applyNumberFormat="1" applyFont="1" applyFill="1" applyBorder="1" applyAlignment="1">
      <alignment horizontal="center" vertical="top"/>
    </xf>
    <xf numFmtId="4" fontId="37" fillId="24" borderId="0" xfId="0" applyNumberFormat="1" applyFont="1" applyFill="1" applyAlignment="1">
      <alignment vertical="top"/>
    </xf>
    <xf numFmtId="4" fontId="37" fillId="24" borderId="0" xfId="0" applyNumberFormat="1" applyFont="1" applyFill="1" applyAlignment="1">
      <alignment horizontal="right" vertical="top"/>
    </xf>
    <xf numFmtId="4" fontId="38" fillId="24" borderId="0" xfId="0" applyNumberFormat="1" applyFont="1" applyFill="1" applyAlignment="1">
      <alignment wrapText="1"/>
    </xf>
    <xf numFmtId="165" fontId="36" fillId="24" borderId="10" xfId="0" applyNumberFormat="1" applyFont="1" applyFill="1" applyBorder="1" applyAlignment="1">
      <alignment horizontal="center" vertical="top"/>
    </xf>
    <xf numFmtId="0" fontId="15" fillId="24" borderId="0" xfId="0" applyFont="1" applyFill="1" applyAlignment="1">
      <alignment horizontal="right"/>
    </xf>
    <xf numFmtId="49" fontId="36" fillId="24" borderId="13" xfId="0" applyNumberFormat="1" applyFont="1" applyFill="1" applyBorder="1" applyAlignment="1" applyProtection="1">
      <alignment horizontal="center" vertical="top" wrapText="1"/>
      <protection locked="0"/>
    </xf>
    <xf numFmtId="167" fontId="15" fillId="24" borderId="0" xfId="0" applyNumberFormat="1" applyFont="1" applyFill="1" applyBorder="1" applyAlignment="1">
      <alignment horizontal="right"/>
    </xf>
    <xf numFmtId="167" fontId="14" fillId="24" borderId="0" xfId="0" applyNumberFormat="1" applyFont="1" applyFill="1" applyAlignment="1">
      <alignment vertical="top"/>
    </xf>
    <xf numFmtId="49" fontId="36" fillId="24" borderId="0" xfId="0" applyNumberFormat="1" applyFont="1" applyFill="1" applyBorder="1" applyAlignment="1">
      <alignment horizontal="center" vertical="top" wrapText="1"/>
    </xf>
    <xf numFmtId="0" fontId="14" fillId="24" borderId="0" xfId="0" applyFont="1" applyFill="1" applyAlignment="1">
      <alignment horizontal="justify" vertical="justify"/>
    </xf>
    <xf numFmtId="0" fontId="36" fillId="24" borderId="10" xfId="0" applyFont="1" applyFill="1" applyBorder="1" applyAlignment="1">
      <alignment horizontal="left" vertical="top" wrapText="1"/>
    </xf>
    <xf numFmtId="11" fontId="36" fillId="24" borderId="10" xfId="0" applyNumberFormat="1" applyFont="1" applyFill="1" applyBorder="1" applyAlignment="1">
      <alignment horizontal="left" vertical="top" wrapText="1"/>
    </xf>
    <xf numFmtId="0" fontId="14" fillId="24" borderId="0" xfId="0" applyFont="1" applyFill="1" applyBorder="1" applyAlignment="1">
      <alignment horizontal="right" vertical="top"/>
    </xf>
    <xf numFmtId="0" fontId="15" fillId="24" borderId="0" xfId="0" applyFont="1" applyFill="1" applyBorder="1" applyAlignment="1">
      <alignment horizontal="left" vertical="top" wrapText="1"/>
    </xf>
    <xf numFmtId="0" fontId="14" fillId="24" borderId="0" xfId="0" applyFont="1" applyFill="1" applyBorder="1" applyAlignment="1">
      <alignment vertical="top"/>
    </xf>
    <xf numFmtId="0" fontId="36" fillId="24" borderId="10" xfId="0" applyFont="1" applyFill="1" applyBorder="1" applyAlignment="1">
      <alignment horizontal="justify" vertical="top" wrapText="1"/>
    </xf>
    <xf numFmtId="0" fontId="36" fillId="24" borderId="10" xfId="0" applyFont="1" applyFill="1" applyBorder="1" applyAlignment="1" applyProtection="1">
      <alignment horizontal="justify" vertical="justify" wrapText="1"/>
      <protection locked="0"/>
    </xf>
    <xf numFmtId="0" fontId="36" fillId="24" borderId="10" xfId="0" applyFont="1" applyFill="1" applyBorder="1" applyAlignment="1" applyProtection="1">
      <alignment horizontal="center" vertical="justify" wrapText="1"/>
      <protection locked="0"/>
    </xf>
    <xf numFmtId="165" fontId="15" fillId="24" borderId="0" xfId="69" applyNumberFormat="1" applyFont="1" applyFill="1" applyBorder="1" applyAlignment="1">
      <alignment horizontal="right" vertical="top" wrapText="1"/>
    </xf>
    <xf numFmtId="4" fontId="14" fillId="24" borderId="0" xfId="0" applyNumberFormat="1" applyFont="1" applyFill="1" applyAlignment="1">
      <alignment vertical="top"/>
    </xf>
    <xf numFmtId="49" fontId="15" fillId="24" borderId="0" xfId="0" applyNumberFormat="1" applyFont="1" applyFill="1" applyAlignment="1">
      <alignment vertical="top"/>
    </xf>
    <xf numFmtId="49" fontId="15" fillId="24" borderId="0" xfId="0" applyNumberFormat="1" applyFont="1" applyFill="1" applyAlignment="1">
      <alignment horizontal="right" vertical="top"/>
    </xf>
    <xf numFmtId="0" fontId="36" fillId="24" borderId="13" xfId="0" applyFont="1" applyFill="1" applyBorder="1" applyAlignment="1">
      <alignment horizontal="center" vertical="top" wrapText="1"/>
    </xf>
    <xf numFmtId="0" fontId="36" fillId="24" borderId="15" xfId="0" applyFont="1" applyFill="1" applyBorder="1" applyAlignment="1">
      <alignment horizontal="center" vertical="top" wrapText="1"/>
    </xf>
    <xf numFmtId="0" fontId="36" fillId="24" borderId="14" xfId="0" applyFont="1" applyFill="1" applyBorder="1" applyAlignment="1">
      <alignment horizontal="center" vertical="top"/>
    </xf>
    <xf numFmtId="0" fontId="36" fillId="24" borderId="10" xfId="0" applyFont="1" applyFill="1" applyBorder="1" applyAlignment="1" applyProtection="1">
      <alignment horizontal="center" vertical="top" wrapText="1"/>
      <protection locked="0"/>
    </xf>
    <xf numFmtId="0" fontId="0" fillId="24" borderId="0" xfId="0" applyFont="1" applyFill="1"/>
    <xf numFmtId="0" fontId="15" fillId="24" borderId="0" xfId="0" applyFont="1" applyFill="1" applyBorder="1" applyAlignment="1" applyProtection="1">
      <alignment horizontal="center" vertical="top" wrapText="1"/>
      <protection locked="0"/>
    </xf>
    <xf numFmtId="0" fontId="15" fillId="24" borderId="0" xfId="0" applyFont="1" applyFill="1" applyBorder="1" applyAlignment="1" applyProtection="1">
      <alignment horizontal="justify" vertical="justify" wrapText="1"/>
      <protection locked="0"/>
    </xf>
    <xf numFmtId="49" fontId="15" fillId="24" borderId="0" xfId="0" applyNumberFormat="1" applyFont="1" applyFill="1" applyBorder="1" applyAlignment="1" applyProtection="1">
      <alignment horizontal="center" vertical="top" wrapText="1"/>
      <protection locked="0"/>
    </xf>
    <xf numFmtId="165" fontId="36" fillId="24" borderId="10" xfId="0" applyNumberFormat="1" applyFont="1" applyFill="1" applyBorder="1" applyAlignment="1" applyProtection="1">
      <alignment horizontal="left" vertical="top" wrapText="1"/>
      <protection locked="0"/>
    </xf>
    <xf numFmtId="165" fontId="36" fillId="24" borderId="10" xfId="0" applyNumberFormat="1" applyFont="1" applyFill="1" applyBorder="1" applyAlignment="1" applyProtection="1">
      <alignment horizontal="center" vertical="top" wrapText="1"/>
      <protection locked="0"/>
    </xf>
    <xf numFmtId="49" fontId="36" fillId="24" borderId="10" xfId="0" applyNumberFormat="1" applyFont="1" applyFill="1" applyBorder="1" applyAlignment="1">
      <alignment horizontal="left" vertical="top" wrapText="1"/>
    </xf>
    <xf numFmtId="2" fontId="36" fillId="24" borderId="10" xfId="0" applyNumberFormat="1" applyFont="1" applyFill="1" applyBorder="1" applyAlignment="1">
      <alignment horizontal="left" vertical="top" wrapText="1"/>
    </xf>
    <xf numFmtId="11" fontId="36" fillId="24" borderId="10" xfId="43" applyNumberFormat="1" applyFont="1" applyFill="1" applyBorder="1" applyAlignment="1" applyProtection="1">
      <alignment horizontal="left" vertical="top" wrapText="1"/>
      <protection hidden="1"/>
    </xf>
    <xf numFmtId="49" fontId="36" fillId="24" borderId="10" xfId="43" applyNumberFormat="1" applyFont="1" applyFill="1" applyBorder="1" applyAlignment="1" applyProtection="1">
      <alignment horizontal="left" vertical="top" wrapText="1"/>
      <protection hidden="1"/>
    </xf>
    <xf numFmtId="12" fontId="36" fillId="24" borderId="10" xfId="0" applyNumberFormat="1" applyFont="1" applyFill="1" applyBorder="1" applyAlignment="1">
      <alignment horizontal="left" vertical="top" wrapText="1"/>
    </xf>
    <xf numFmtId="0" fontId="36" fillId="24" borderId="10" xfId="0" applyFont="1" applyFill="1" applyBorder="1" applyAlignment="1">
      <alignment horizontal="left" vertical="top"/>
    </xf>
    <xf numFmtId="0" fontId="36" fillId="24" borderId="10" xfId="0" applyFont="1" applyFill="1" applyBorder="1" applyAlignment="1">
      <alignment vertical="top" wrapText="1"/>
    </xf>
    <xf numFmtId="0" fontId="36" fillId="24" borderId="12" xfId="0" applyFont="1" applyFill="1" applyBorder="1" applyAlignment="1">
      <alignment horizontal="left" vertical="top" wrapText="1"/>
    </xf>
    <xf numFmtId="49" fontId="36" fillId="24" borderId="12" xfId="0" applyNumberFormat="1" applyFont="1" applyFill="1" applyBorder="1" applyAlignment="1">
      <alignment horizontal="left" vertical="top" wrapText="1"/>
    </xf>
    <xf numFmtId="49" fontId="36" fillId="24" borderId="10" xfId="0" applyNumberFormat="1" applyFont="1" applyFill="1" applyBorder="1" applyAlignment="1">
      <alignment horizontal="justify" vertical="top" wrapText="1"/>
    </xf>
    <xf numFmtId="49" fontId="36" fillId="24" borderId="12" xfId="43" applyNumberFormat="1" applyFont="1" applyFill="1" applyBorder="1" applyAlignment="1" applyProtection="1">
      <alignment horizontal="left" vertical="top" wrapText="1"/>
      <protection hidden="1"/>
    </xf>
    <xf numFmtId="49" fontId="36" fillId="24" borderId="10" xfId="43" applyNumberFormat="1" applyFont="1" applyFill="1" applyBorder="1" applyAlignment="1">
      <alignment horizontal="left" vertical="top" wrapText="1"/>
    </xf>
    <xf numFmtId="2" fontId="36" fillId="24" borderId="10" xfId="43" applyNumberFormat="1" applyFont="1" applyFill="1" applyBorder="1" applyAlignment="1" applyProtection="1">
      <alignment horizontal="left" vertical="top" wrapText="1"/>
      <protection hidden="1"/>
    </xf>
    <xf numFmtId="0" fontId="36" fillId="24" borderId="10" xfId="0" applyNumberFormat="1" applyFont="1" applyFill="1" applyBorder="1" applyAlignment="1">
      <alignment horizontal="left" vertical="top" wrapText="1"/>
    </xf>
    <xf numFmtId="4" fontId="36" fillId="24" borderId="10" xfId="0" applyNumberFormat="1" applyFont="1" applyFill="1" applyBorder="1" applyAlignment="1">
      <alignment horizontal="left" vertical="top" wrapText="1"/>
    </xf>
    <xf numFmtId="166" fontId="36" fillId="24" borderId="10" xfId="43" applyNumberFormat="1" applyFont="1" applyFill="1" applyBorder="1" applyAlignment="1">
      <alignment horizontal="left" vertical="top" wrapText="1"/>
    </xf>
    <xf numFmtId="0" fontId="0" fillId="24" borderId="0" xfId="0" applyFont="1" applyFill="1" applyAlignment="1">
      <alignment vertical="top"/>
    </xf>
    <xf numFmtId="0" fontId="0" fillId="24" borderId="0" xfId="0" applyFont="1" applyFill="1" applyAlignment="1"/>
    <xf numFmtId="0" fontId="0" fillId="24" borderId="0" xfId="0" applyFont="1" applyFill="1" applyAlignment="1">
      <alignment horizontal="center" vertical="top"/>
    </xf>
    <xf numFmtId="0" fontId="36" fillId="24" borderId="10" xfId="0" applyFont="1" applyFill="1" applyBorder="1" applyAlignment="1" applyProtection="1">
      <alignment horizontal="center" vertical="top" wrapText="1"/>
      <protection locked="0"/>
    </xf>
    <xf numFmtId="49" fontId="36" fillId="24" borderId="10" xfId="0" applyNumberFormat="1" applyFont="1" applyFill="1" applyBorder="1" applyAlignment="1">
      <alignment horizontal="center" vertical="top" wrapText="1"/>
    </xf>
    <xf numFmtId="0" fontId="36" fillId="24" borderId="10" xfId="0" applyFont="1" applyFill="1" applyBorder="1" applyAlignment="1">
      <alignment horizontal="center" vertical="top" wrapText="1"/>
    </xf>
    <xf numFmtId="0" fontId="36" fillId="24" borderId="10" xfId="0" applyFont="1" applyFill="1" applyBorder="1" applyAlignment="1">
      <alignment horizontal="center" vertical="top"/>
    </xf>
    <xf numFmtId="0" fontId="36" fillId="24" borderId="10" xfId="0" applyFont="1" applyFill="1" applyBorder="1" applyAlignment="1">
      <alignment horizontal="center" vertical="top" wrapText="1"/>
    </xf>
    <xf numFmtId="1" fontId="36" fillId="24" borderId="13" xfId="0" applyNumberFormat="1" applyFont="1" applyFill="1" applyBorder="1" applyAlignment="1" applyProtection="1">
      <alignment horizontal="center" vertical="top" wrapText="1"/>
      <protection locked="0"/>
    </xf>
    <xf numFmtId="1" fontId="36" fillId="24" borderId="14" xfId="0" applyNumberFormat="1" applyFont="1" applyFill="1" applyBorder="1" applyAlignment="1" applyProtection="1">
      <alignment horizontal="center" vertical="top" wrapText="1"/>
      <protection locked="0"/>
    </xf>
    <xf numFmtId="1" fontId="36" fillId="24" borderId="15" xfId="0" applyNumberFormat="1" applyFont="1" applyFill="1" applyBorder="1" applyAlignment="1" applyProtection="1">
      <alignment horizontal="center" vertical="top" wrapText="1"/>
      <protection locked="0"/>
    </xf>
    <xf numFmtId="0" fontId="36" fillId="24" borderId="13" xfId="0" applyFont="1" applyFill="1" applyBorder="1" applyAlignment="1">
      <alignment horizontal="center" vertical="top" wrapText="1"/>
    </xf>
    <xf numFmtId="0" fontId="36" fillId="24" borderId="15" xfId="0" applyFont="1" applyFill="1" applyBorder="1" applyAlignment="1">
      <alignment horizontal="center" vertical="top" wrapText="1"/>
    </xf>
    <xf numFmtId="0" fontId="36" fillId="24" borderId="10" xfId="0" applyFont="1" applyFill="1" applyBorder="1" applyAlignment="1" applyProtection="1">
      <alignment horizontal="center" vertical="top" wrapText="1"/>
      <protection locked="0"/>
    </xf>
    <xf numFmtId="0" fontId="39" fillId="24" borderId="0" xfId="0" applyFont="1" applyFill="1" applyBorder="1" applyAlignment="1" applyProtection="1">
      <alignment horizontal="center" vertical="top" wrapText="1"/>
      <protection locked="0"/>
    </xf>
    <xf numFmtId="0" fontId="36" fillId="24" borderId="14" xfId="0" applyFont="1" applyFill="1" applyBorder="1" applyAlignment="1">
      <alignment horizontal="center" vertical="top" wrapText="1"/>
    </xf>
    <xf numFmtId="0" fontId="15" fillId="24" borderId="11" xfId="0" applyFont="1" applyFill="1" applyBorder="1" applyAlignment="1">
      <alignment horizontal="right" vertical="top"/>
    </xf>
    <xf numFmtId="0" fontId="36" fillId="24" borderId="13" xfId="0" applyFont="1" applyFill="1" applyBorder="1" applyAlignment="1" applyProtection="1">
      <alignment horizontal="center" vertical="justify" wrapText="1"/>
      <protection locked="0"/>
    </xf>
    <xf numFmtId="0" fontId="36" fillId="24" borderId="15" xfId="0" applyFont="1" applyFill="1" applyBorder="1" applyAlignment="1" applyProtection="1">
      <alignment horizontal="center" vertical="justify" wrapText="1"/>
      <protection locked="0"/>
    </xf>
    <xf numFmtId="0" fontId="15" fillId="24" borderId="0" xfId="0" applyFont="1" applyFill="1" applyAlignment="1">
      <alignment horizontal="left" wrapText="1"/>
    </xf>
    <xf numFmtId="0" fontId="0" fillId="24" borderId="0" xfId="0" applyFont="1" applyFill="1" applyAlignment="1">
      <alignment horizontal="left" wrapText="1"/>
    </xf>
    <xf numFmtId="4" fontId="14" fillId="24" borderId="0" xfId="0" applyNumberFormat="1" applyFont="1" applyFill="1" applyAlignment="1">
      <alignment horizontal="center" vertical="top"/>
    </xf>
    <xf numFmtId="4" fontId="37" fillId="24" borderId="16" xfId="0" applyNumberFormat="1" applyFont="1" applyFill="1" applyBorder="1" applyAlignment="1">
      <alignment horizontal="center" vertical="top" wrapText="1"/>
    </xf>
    <xf numFmtId="4" fontId="37" fillId="24" borderId="0" xfId="0" applyNumberFormat="1" applyFont="1" applyFill="1" applyAlignment="1">
      <alignment horizontal="center" vertical="top" wrapText="1"/>
    </xf>
    <xf numFmtId="0" fontId="36" fillId="24" borderId="13" xfId="0" applyFont="1" applyFill="1" applyBorder="1" applyAlignment="1">
      <alignment horizontal="center" vertical="top"/>
    </xf>
    <xf numFmtId="0" fontId="36" fillId="24" borderId="14" xfId="0" applyFont="1" applyFill="1" applyBorder="1" applyAlignment="1">
      <alignment horizontal="center" vertical="top"/>
    </xf>
    <xf numFmtId="0" fontId="36" fillId="24" borderId="15" xfId="0" applyFont="1" applyFill="1" applyBorder="1" applyAlignment="1">
      <alignment horizontal="center" vertical="top"/>
    </xf>
    <xf numFmtId="0" fontId="36" fillId="24" borderId="10" xfId="0" applyFont="1" applyFill="1" applyBorder="1" applyAlignment="1">
      <alignment horizontal="center" vertical="top"/>
    </xf>
    <xf numFmtId="49" fontId="36" fillId="24" borderId="10" xfId="0" applyNumberFormat="1" applyFont="1" applyFill="1" applyBorder="1" applyAlignment="1">
      <alignment horizontal="center" vertical="top" wrapText="1"/>
    </xf>
  </cellXfs>
  <cellStyles count="94">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66"/>
    <cellStyle name="Обычный 2 10 2" xfId="91"/>
    <cellStyle name="Обычный 2 11" xfId="68"/>
    <cellStyle name="Обычный 2 11 2" xfId="93"/>
    <cellStyle name="Обычный 2 12" xfId="71"/>
    <cellStyle name="Обычный 2 13" xfId="73"/>
    <cellStyle name="Обычный 2 2" xfId="50"/>
    <cellStyle name="Обычный 2 2 2" xfId="43"/>
    <cellStyle name="Обычный 2 2 3" xfId="75"/>
    <cellStyle name="Обычный 2 3" xfId="52"/>
    <cellStyle name="Обычный 2 3 2" xfId="77"/>
    <cellStyle name="Обычный 2 4" xfId="54"/>
    <cellStyle name="Обычный 2 4 2" xfId="79"/>
    <cellStyle name="Обычный 2 5" xfId="56"/>
    <cellStyle name="Обычный 2 5 2" xfId="81"/>
    <cellStyle name="Обычный 2 6" xfId="58"/>
    <cellStyle name="Обычный 2 6 2" xfId="83"/>
    <cellStyle name="Обычный 2 7" xfId="60"/>
    <cellStyle name="Обычный 2 7 2" xfId="85"/>
    <cellStyle name="Обычный 2 8" xfId="62"/>
    <cellStyle name="Обычный 2 8 2" xfId="87"/>
    <cellStyle name="Обычный 2 9" xfId="64"/>
    <cellStyle name="Обычный 2 9 2" xfId="89"/>
    <cellStyle name="Обычный 3" xfId="44"/>
    <cellStyle name="Обычный 3 10" xfId="65"/>
    <cellStyle name="Обычный 3 10 2" xfId="90"/>
    <cellStyle name="Обычный 3 11" xfId="67"/>
    <cellStyle name="Обычный 3 11 2" xfId="92"/>
    <cellStyle name="Обычный 3 12" xfId="70"/>
    <cellStyle name="Обычный 3 13" xfId="72"/>
    <cellStyle name="Обычный 3 2" xfId="48"/>
    <cellStyle name="Обычный 3 2 2" xfId="74"/>
    <cellStyle name="Обычный 3 3" xfId="51"/>
    <cellStyle name="Обычный 3 3 2" xfId="76"/>
    <cellStyle name="Обычный 3 4" xfId="53"/>
    <cellStyle name="Обычный 3 4 2" xfId="78"/>
    <cellStyle name="Обычный 3 5" xfId="55"/>
    <cellStyle name="Обычный 3 5 2" xfId="80"/>
    <cellStyle name="Обычный 3 6" xfId="57"/>
    <cellStyle name="Обычный 3 6 2" xfId="82"/>
    <cellStyle name="Обычный 3 7" xfId="59"/>
    <cellStyle name="Обычный 3 7 2" xfId="84"/>
    <cellStyle name="Обычный 3 8" xfId="61"/>
    <cellStyle name="Обычный 3 8 2" xfId="86"/>
    <cellStyle name="Обычный 3 9" xfId="63"/>
    <cellStyle name="Обычный 3 9 2" xfId="88"/>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49"/>
    <cellStyle name="Связанная ячейка" xfId="39" builtinId="24" customBuiltin="1"/>
    <cellStyle name="Текст предупреждения" xfId="40" builtinId="11" customBuiltin="1"/>
    <cellStyle name="Финансовый" xfId="69" builtinId="3"/>
    <cellStyle name="Финансовый 2" xfId="41"/>
    <cellStyle name="Финансовый 2 2" xfId="47"/>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390525</xdr:colOff>
      <xdr:row>0</xdr:row>
      <xdr:rowOff>0</xdr:rowOff>
    </xdr:from>
    <xdr:to>
      <xdr:col>13</xdr:col>
      <xdr:colOff>0</xdr:colOff>
      <xdr:row>8</xdr:row>
      <xdr:rowOff>114299</xdr:rowOff>
    </xdr:to>
    <xdr:sp macro="" textlink="">
      <xdr:nvSpPr>
        <xdr:cNvPr id="5" name="Text Box 2"/>
        <xdr:cNvSpPr txBox="1">
          <a:spLocks noChangeArrowheads="1"/>
        </xdr:cNvSpPr>
      </xdr:nvSpPr>
      <xdr:spPr bwMode="auto">
        <a:xfrm>
          <a:off x="5600700" y="0"/>
          <a:ext cx="3143250" cy="1971674"/>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Приложение 5</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ru-RU" sz="1400" b="0" i="0" u="none" strike="noStrike" kern="0" cap="none" spc="0" normalizeH="0" baseline="0" noProof="0">
            <a:ln>
              <a:noFill/>
            </a:ln>
            <a:solidFill>
              <a:srgbClr val="000000"/>
            </a:solidFill>
            <a:effectLst/>
            <a:uLnTx/>
            <a:uFillTx/>
            <a:latin typeface="Times New Roman"/>
            <a:ea typeface="+mn-ea"/>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УТВЕРЖДЕНО</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р</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ешением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27.06.2025 № 256</a:t>
          </a: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X1626"/>
  <sheetViews>
    <sheetView showGridLines="0" tabSelected="1" view="pageBreakPreview" zoomScaleNormal="90" zoomScaleSheetLayoutView="100" workbookViewId="0">
      <selection activeCell="A11" sqref="A11"/>
    </sheetView>
  </sheetViews>
  <sheetFormatPr defaultRowHeight="18" x14ac:dyDescent="0.2"/>
  <cols>
    <col min="1" max="1" width="4.7109375" style="7" customWidth="1"/>
    <col min="2" max="2" width="51" style="18" customWidth="1"/>
    <col min="3" max="3" width="4.5703125" style="1" customWidth="1"/>
    <col min="4" max="4" width="4.28515625" style="2" customWidth="1"/>
    <col min="5" max="5" width="3.7109375" style="2" customWidth="1"/>
    <col min="6" max="6" width="3.28515625" style="2" customWidth="1"/>
    <col min="7" max="7" width="3.28515625" style="1" customWidth="1"/>
    <col min="8" max="8" width="3.28515625" style="2" customWidth="1"/>
    <col min="9" max="9" width="7.28515625" style="2" customWidth="1"/>
    <col min="10" max="10" width="4.5703125" style="2" customWidth="1"/>
    <col min="11" max="11" width="12.7109375" style="1" customWidth="1"/>
    <col min="12" max="12" width="14.7109375" style="35" customWidth="1"/>
    <col min="13" max="13" width="13.7109375" style="1" customWidth="1"/>
    <col min="14" max="14" width="5.7109375" style="9" customWidth="1"/>
    <col min="15" max="15" width="7.5703125" style="7" customWidth="1"/>
    <col min="16" max="16" width="4.28515625" style="7" customWidth="1"/>
    <col min="17" max="17" width="5.7109375" style="7" customWidth="1"/>
    <col min="18" max="18" width="13.42578125" style="7" customWidth="1"/>
    <col min="19" max="19" width="6" style="7" customWidth="1"/>
    <col min="20" max="20" width="15.28515625" style="7" customWidth="1"/>
    <col min="21" max="21" width="5.7109375" style="7" customWidth="1"/>
    <col min="22" max="22" width="5.42578125" style="7" customWidth="1"/>
    <col min="23" max="23" width="4.5703125" style="7" customWidth="1"/>
    <col min="24" max="24" width="4.28515625" style="7" customWidth="1"/>
    <col min="25" max="16384" width="9.140625" style="7"/>
  </cols>
  <sheetData>
    <row r="6" spans="1:20" ht="27.6" customHeight="1" x14ac:dyDescent="0.2"/>
    <row r="7" spans="1:20" ht="18" customHeight="1" x14ac:dyDescent="0.2"/>
    <row r="8" spans="1:20" ht="11.25" customHeight="1" x14ac:dyDescent="0.2"/>
    <row r="9" spans="1:20" ht="18" customHeight="1" x14ac:dyDescent="0.2">
      <c r="A9" s="71" t="s">
        <v>551</v>
      </c>
      <c r="B9" s="71"/>
      <c r="C9" s="71"/>
      <c r="D9" s="71"/>
      <c r="E9" s="71"/>
      <c r="F9" s="71"/>
      <c r="G9" s="71"/>
      <c r="H9" s="71"/>
      <c r="I9" s="71"/>
      <c r="J9" s="71"/>
      <c r="K9" s="71"/>
      <c r="L9" s="71"/>
      <c r="M9" s="71"/>
    </row>
    <row r="10" spans="1:20" ht="61.5" customHeight="1" x14ac:dyDescent="0.2">
      <c r="A10" s="71" t="s">
        <v>556</v>
      </c>
      <c r="B10" s="71"/>
      <c r="C10" s="71"/>
      <c r="D10" s="71"/>
      <c r="E10" s="71"/>
      <c r="F10" s="71"/>
      <c r="G10" s="71"/>
      <c r="H10" s="71"/>
      <c r="I10" s="71"/>
      <c r="J10" s="71"/>
      <c r="K10" s="71"/>
      <c r="L10" s="71"/>
      <c r="M10" s="71"/>
    </row>
    <row r="11" spans="1:20" ht="18.75" x14ac:dyDescent="0.2">
      <c r="A11" s="36"/>
      <c r="B11" s="37"/>
      <c r="C11" s="36"/>
      <c r="D11" s="36"/>
      <c r="E11" s="36"/>
      <c r="F11" s="38"/>
      <c r="G11" s="36"/>
      <c r="H11" s="38"/>
      <c r="I11" s="38"/>
      <c r="L11" s="73" t="s">
        <v>93</v>
      </c>
      <c r="M11" s="73"/>
    </row>
    <row r="12" spans="1:20" ht="36.75" customHeight="1" x14ac:dyDescent="0.2">
      <c r="A12" s="70" t="s">
        <v>0</v>
      </c>
      <c r="B12" s="74" t="s">
        <v>39</v>
      </c>
      <c r="C12" s="70" t="s">
        <v>38</v>
      </c>
      <c r="D12" s="70" t="s">
        <v>37</v>
      </c>
      <c r="E12" s="70"/>
      <c r="F12" s="70"/>
      <c r="G12" s="70"/>
      <c r="H12" s="70"/>
      <c r="I12" s="70"/>
      <c r="J12" s="70"/>
      <c r="K12" s="68" t="s">
        <v>549</v>
      </c>
      <c r="L12" s="31" t="s">
        <v>548</v>
      </c>
      <c r="M12" s="31" t="s">
        <v>550</v>
      </c>
      <c r="T12" s="28"/>
    </row>
    <row r="13" spans="1:20" ht="21" customHeight="1" x14ac:dyDescent="0.2">
      <c r="A13" s="70"/>
      <c r="B13" s="75"/>
      <c r="C13" s="70"/>
      <c r="D13" s="14" t="s">
        <v>33</v>
      </c>
      <c r="E13" s="14" t="s">
        <v>34</v>
      </c>
      <c r="F13" s="70" t="s">
        <v>35</v>
      </c>
      <c r="G13" s="70"/>
      <c r="H13" s="70"/>
      <c r="I13" s="70"/>
      <c r="J13" s="14" t="s">
        <v>36</v>
      </c>
      <c r="K13" s="69"/>
      <c r="L13" s="32"/>
      <c r="M13" s="32"/>
    </row>
    <row r="14" spans="1:20" x14ac:dyDescent="0.2">
      <c r="A14" s="34">
        <v>1</v>
      </c>
      <c r="B14" s="26">
        <v>2</v>
      </c>
      <c r="C14" s="60">
        <v>3</v>
      </c>
      <c r="D14" s="60">
        <v>4</v>
      </c>
      <c r="E14" s="60">
        <v>5</v>
      </c>
      <c r="F14" s="60">
        <v>6</v>
      </c>
      <c r="G14" s="60">
        <v>7</v>
      </c>
      <c r="H14" s="60">
        <v>8</v>
      </c>
      <c r="I14" s="60">
        <v>9</v>
      </c>
      <c r="J14" s="60">
        <v>10</v>
      </c>
      <c r="K14" s="60">
        <v>11</v>
      </c>
      <c r="L14" s="60">
        <v>12</v>
      </c>
      <c r="M14" s="60">
        <v>13</v>
      </c>
      <c r="P14" s="16"/>
    </row>
    <row r="15" spans="1:20" ht="21.6" customHeight="1" x14ac:dyDescent="0.2">
      <c r="A15" s="34"/>
      <c r="B15" s="25" t="s">
        <v>40</v>
      </c>
      <c r="C15" s="60" t="s">
        <v>557</v>
      </c>
      <c r="D15" s="60" t="s">
        <v>557</v>
      </c>
      <c r="E15" s="60" t="s">
        <v>557</v>
      </c>
      <c r="F15" s="5" t="s">
        <v>557</v>
      </c>
      <c r="G15" s="60" t="s">
        <v>557</v>
      </c>
      <c r="H15" s="5" t="s">
        <v>557</v>
      </c>
      <c r="I15" s="5" t="s">
        <v>557</v>
      </c>
      <c r="J15" s="60" t="s">
        <v>557</v>
      </c>
      <c r="K15" s="12">
        <f>SUM(K16+K26+K262+K330+K367+K431+K502+K549+K601+K847+K956+K1035+K1111+K1151+K1088)</f>
        <v>4815385.1000000015</v>
      </c>
      <c r="L15" s="12">
        <f>SUM(L16+L26+L262+L330+L367+L431+L502+L549+L601+L847+L956+L1035+L1111+L1151+L1088)</f>
        <v>4707752.5000000009</v>
      </c>
      <c r="M15" s="12">
        <f>SUM(L15/K15*100)</f>
        <v>97.764818435808991</v>
      </c>
      <c r="O15" s="78"/>
      <c r="P15" s="78"/>
    </row>
    <row r="16" spans="1:20" ht="33" customHeight="1" x14ac:dyDescent="0.2">
      <c r="A16" s="65">
        <v>1</v>
      </c>
      <c r="B16" s="39" t="s">
        <v>534</v>
      </c>
      <c r="C16" s="5">
        <v>901</v>
      </c>
      <c r="D16" s="40" t="s">
        <v>557</v>
      </c>
      <c r="E16" s="40" t="s">
        <v>557</v>
      </c>
      <c r="F16" s="5" t="s">
        <v>557</v>
      </c>
      <c r="G16" s="40" t="s">
        <v>557</v>
      </c>
      <c r="H16" s="5" t="s">
        <v>557</v>
      </c>
      <c r="I16" s="5" t="s">
        <v>557</v>
      </c>
      <c r="J16" s="40" t="s">
        <v>557</v>
      </c>
      <c r="K16" s="12">
        <f t="shared" ref="K16:L19" si="0">SUM(K17)</f>
        <v>2067.4</v>
      </c>
      <c r="L16" s="12">
        <f t="shared" si="0"/>
        <v>2052.5</v>
      </c>
      <c r="M16" s="12">
        <f t="shared" ref="M16:M77" si="1">SUM(L16/K16*100)</f>
        <v>99.27928799458256</v>
      </c>
    </row>
    <row r="17" spans="1:14" x14ac:dyDescent="0.2">
      <c r="A17" s="66"/>
      <c r="B17" s="19" t="s">
        <v>1</v>
      </c>
      <c r="C17" s="5">
        <v>901</v>
      </c>
      <c r="D17" s="5" t="s">
        <v>2</v>
      </c>
      <c r="E17" s="40" t="s">
        <v>557</v>
      </c>
      <c r="F17" s="5" t="s">
        <v>557</v>
      </c>
      <c r="G17" s="40" t="s">
        <v>557</v>
      </c>
      <c r="H17" s="5" t="s">
        <v>557</v>
      </c>
      <c r="I17" s="5" t="s">
        <v>557</v>
      </c>
      <c r="J17" s="40" t="s">
        <v>557</v>
      </c>
      <c r="K17" s="12">
        <f t="shared" si="0"/>
        <v>2067.4</v>
      </c>
      <c r="L17" s="12">
        <f t="shared" si="0"/>
        <v>2052.5</v>
      </c>
      <c r="M17" s="12">
        <f t="shared" si="1"/>
        <v>99.27928799458256</v>
      </c>
    </row>
    <row r="18" spans="1:14" ht="63" x14ac:dyDescent="0.2">
      <c r="A18" s="66"/>
      <c r="B18" s="19" t="s">
        <v>169</v>
      </c>
      <c r="C18" s="62">
        <v>901</v>
      </c>
      <c r="D18" s="8" t="s">
        <v>2</v>
      </c>
      <c r="E18" s="8" t="s">
        <v>5</v>
      </c>
      <c r="F18" s="5" t="s">
        <v>557</v>
      </c>
      <c r="G18" s="40" t="s">
        <v>557</v>
      </c>
      <c r="H18" s="5" t="s">
        <v>557</v>
      </c>
      <c r="I18" s="5" t="s">
        <v>557</v>
      </c>
      <c r="J18" s="40" t="s">
        <v>557</v>
      </c>
      <c r="K18" s="12">
        <f t="shared" si="0"/>
        <v>2067.4</v>
      </c>
      <c r="L18" s="12">
        <f t="shared" si="0"/>
        <v>2052.5</v>
      </c>
      <c r="M18" s="12">
        <f t="shared" si="1"/>
        <v>99.27928799458256</v>
      </c>
    </row>
    <row r="19" spans="1:14" ht="31.5" x14ac:dyDescent="0.2">
      <c r="A19" s="66"/>
      <c r="B19" s="19" t="s">
        <v>77</v>
      </c>
      <c r="C19" s="62">
        <v>901</v>
      </c>
      <c r="D19" s="8" t="s">
        <v>2</v>
      </c>
      <c r="E19" s="8" t="s">
        <v>5</v>
      </c>
      <c r="F19" s="8">
        <v>51</v>
      </c>
      <c r="G19" s="40" t="s">
        <v>557</v>
      </c>
      <c r="H19" s="5" t="s">
        <v>557</v>
      </c>
      <c r="I19" s="5" t="s">
        <v>557</v>
      </c>
      <c r="J19" s="40" t="s">
        <v>557</v>
      </c>
      <c r="K19" s="12">
        <f t="shared" si="0"/>
        <v>2067.4</v>
      </c>
      <c r="L19" s="12">
        <f t="shared" si="0"/>
        <v>2052.5</v>
      </c>
      <c r="M19" s="12">
        <f t="shared" si="1"/>
        <v>99.27928799458256</v>
      </c>
    </row>
    <row r="20" spans="1:14" ht="31.5" x14ac:dyDescent="0.2">
      <c r="A20" s="66"/>
      <c r="B20" s="19" t="s">
        <v>100</v>
      </c>
      <c r="C20" s="62">
        <v>901</v>
      </c>
      <c r="D20" s="8" t="s">
        <v>2</v>
      </c>
      <c r="E20" s="8" t="s">
        <v>5</v>
      </c>
      <c r="F20" s="8">
        <v>51</v>
      </c>
      <c r="G20" s="63">
        <v>1</v>
      </c>
      <c r="H20" s="5" t="s">
        <v>557</v>
      </c>
      <c r="I20" s="5" t="s">
        <v>557</v>
      </c>
      <c r="J20" s="40" t="s">
        <v>557</v>
      </c>
      <c r="K20" s="12">
        <f>SUM(K21+K24)</f>
        <v>2067.4</v>
      </c>
      <c r="L20" s="12">
        <f>SUM(L21+L24)</f>
        <v>2052.5</v>
      </c>
      <c r="M20" s="12">
        <f t="shared" si="1"/>
        <v>99.27928799458256</v>
      </c>
    </row>
    <row r="21" spans="1:14" ht="31.5" x14ac:dyDescent="0.2">
      <c r="A21" s="66"/>
      <c r="B21" s="19" t="s">
        <v>53</v>
      </c>
      <c r="C21" s="62">
        <v>901</v>
      </c>
      <c r="D21" s="8" t="s">
        <v>2</v>
      </c>
      <c r="E21" s="8" t="s">
        <v>5</v>
      </c>
      <c r="F21" s="8">
        <v>51</v>
      </c>
      <c r="G21" s="63">
        <v>1</v>
      </c>
      <c r="H21" s="8" t="s">
        <v>97</v>
      </c>
      <c r="I21" s="8" t="s">
        <v>99</v>
      </c>
      <c r="J21" s="40" t="s">
        <v>557</v>
      </c>
      <c r="K21" s="12">
        <f>SUM(K22+K23)</f>
        <v>1864.3</v>
      </c>
      <c r="L21" s="12">
        <f>SUM(L22+L23)</f>
        <v>1849.4</v>
      </c>
      <c r="M21" s="12">
        <f t="shared" si="1"/>
        <v>99.200772407874268</v>
      </c>
    </row>
    <row r="22" spans="1:14" s="28" customFormat="1" ht="49.5" customHeight="1" x14ac:dyDescent="0.2">
      <c r="A22" s="66"/>
      <c r="B22" s="19" t="s">
        <v>54</v>
      </c>
      <c r="C22" s="62">
        <v>901</v>
      </c>
      <c r="D22" s="8" t="s">
        <v>2</v>
      </c>
      <c r="E22" s="8" t="s">
        <v>5</v>
      </c>
      <c r="F22" s="8">
        <v>51</v>
      </c>
      <c r="G22" s="63">
        <v>1</v>
      </c>
      <c r="H22" s="8" t="s">
        <v>97</v>
      </c>
      <c r="I22" s="8" t="s">
        <v>99</v>
      </c>
      <c r="J22" s="8" t="s">
        <v>55</v>
      </c>
      <c r="K22" s="12">
        <v>1800</v>
      </c>
      <c r="L22" s="12">
        <v>1787.9</v>
      </c>
      <c r="M22" s="12">
        <f t="shared" si="1"/>
        <v>99.327777777777783</v>
      </c>
      <c r="N22" s="9"/>
    </row>
    <row r="23" spans="1:14" s="28" customFormat="1" ht="31.5" x14ac:dyDescent="0.2">
      <c r="A23" s="66"/>
      <c r="B23" s="19" t="s">
        <v>164</v>
      </c>
      <c r="C23" s="62">
        <v>901</v>
      </c>
      <c r="D23" s="8" t="s">
        <v>2</v>
      </c>
      <c r="E23" s="8" t="s">
        <v>5</v>
      </c>
      <c r="F23" s="8">
        <v>51</v>
      </c>
      <c r="G23" s="63">
        <v>1</v>
      </c>
      <c r="H23" s="8" t="s">
        <v>97</v>
      </c>
      <c r="I23" s="8" t="s">
        <v>99</v>
      </c>
      <c r="J23" s="8" t="s">
        <v>57</v>
      </c>
      <c r="K23" s="12">
        <f>64.3+203.1-203.1</f>
        <v>64.299999999999983</v>
      </c>
      <c r="L23" s="12">
        <v>61.5</v>
      </c>
      <c r="M23" s="12">
        <f t="shared" si="1"/>
        <v>95.645412130637666</v>
      </c>
      <c r="N23" s="9"/>
    </row>
    <row r="24" spans="1:14" s="28" customFormat="1" ht="94.5" x14ac:dyDescent="0.2">
      <c r="A24" s="66"/>
      <c r="B24" s="19" t="s">
        <v>526</v>
      </c>
      <c r="C24" s="62">
        <v>901</v>
      </c>
      <c r="D24" s="8" t="s">
        <v>2</v>
      </c>
      <c r="E24" s="8" t="s">
        <v>5</v>
      </c>
      <c r="F24" s="8">
        <v>51</v>
      </c>
      <c r="G24" s="63">
        <v>1</v>
      </c>
      <c r="H24" s="8" t="s">
        <v>97</v>
      </c>
      <c r="I24" s="8" t="s">
        <v>527</v>
      </c>
      <c r="J24" s="40" t="s">
        <v>557</v>
      </c>
      <c r="K24" s="12">
        <f>K25</f>
        <v>203.1</v>
      </c>
      <c r="L24" s="12">
        <f>L25</f>
        <v>203.1</v>
      </c>
      <c r="M24" s="12">
        <f t="shared" si="1"/>
        <v>100</v>
      </c>
      <c r="N24" s="9"/>
    </row>
    <row r="25" spans="1:14" s="28" customFormat="1" ht="31.5" x14ac:dyDescent="0.2">
      <c r="A25" s="67"/>
      <c r="B25" s="19" t="s">
        <v>164</v>
      </c>
      <c r="C25" s="62">
        <v>901</v>
      </c>
      <c r="D25" s="8" t="s">
        <v>2</v>
      </c>
      <c r="E25" s="8" t="s">
        <v>5</v>
      </c>
      <c r="F25" s="8">
        <v>51</v>
      </c>
      <c r="G25" s="63">
        <v>1</v>
      </c>
      <c r="H25" s="8" t="s">
        <v>97</v>
      </c>
      <c r="I25" s="8" t="s">
        <v>527</v>
      </c>
      <c r="J25" s="8" t="s">
        <v>57</v>
      </c>
      <c r="K25" s="12">
        <v>203.1</v>
      </c>
      <c r="L25" s="12">
        <v>203.1</v>
      </c>
      <c r="M25" s="12">
        <f t="shared" si="1"/>
        <v>100</v>
      </c>
      <c r="N25" s="9"/>
    </row>
    <row r="26" spans="1:14" s="28" customFormat="1" ht="49.5" customHeight="1" x14ac:dyDescent="0.2">
      <c r="A26" s="68">
        <v>2</v>
      </c>
      <c r="B26" s="19" t="s">
        <v>83</v>
      </c>
      <c r="C26" s="62">
        <v>902</v>
      </c>
      <c r="D26" s="40" t="s">
        <v>557</v>
      </c>
      <c r="E26" s="40" t="s">
        <v>557</v>
      </c>
      <c r="F26" s="5" t="s">
        <v>557</v>
      </c>
      <c r="G26" s="40" t="s">
        <v>557</v>
      </c>
      <c r="H26" s="5" t="s">
        <v>557</v>
      </c>
      <c r="I26" s="5" t="s">
        <v>557</v>
      </c>
      <c r="J26" s="40" t="s">
        <v>557</v>
      </c>
      <c r="K26" s="12">
        <f>SUM(K27+K149+K162+K200+K212+K219+K155+K193)</f>
        <v>492097.6</v>
      </c>
      <c r="L26" s="12">
        <f>SUM(L27+L149+L162+L200+L212+L219+L155+L193)</f>
        <v>470274.8</v>
      </c>
      <c r="M26" s="12">
        <f t="shared" si="1"/>
        <v>95.565351263651763</v>
      </c>
      <c r="N26" s="9"/>
    </row>
    <row r="27" spans="1:14" s="28" customFormat="1" x14ac:dyDescent="0.2">
      <c r="A27" s="72"/>
      <c r="B27" s="19" t="s">
        <v>1</v>
      </c>
      <c r="C27" s="62">
        <v>902</v>
      </c>
      <c r="D27" s="61" t="s">
        <v>2</v>
      </c>
      <c r="E27" s="40" t="s">
        <v>557</v>
      </c>
      <c r="F27" s="5" t="s">
        <v>557</v>
      </c>
      <c r="G27" s="40" t="s">
        <v>557</v>
      </c>
      <c r="H27" s="5" t="s">
        <v>557</v>
      </c>
      <c r="I27" s="5" t="s">
        <v>557</v>
      </c>
      <c r="J27" s="40" t="s">
        <v>557</v>
      </c>
      <c r="K27" s="12">
        <f>SUM(K28+K35+K80+K70+K75)</f>
        <v>383011.3</v>
      </c>
      <c r="L27" s="12">
        <f>SUM(L28+L35+L80+L70+L75)</f>
        <v>379571.80000000005</v>
      </c>
      <c r="M27" s="12">
        <f t="shared" si="1"/>
        <v>99.101984719510909</v>
      </c>
      <c r="N27" s="9"/>
    </row>
    <row r="28" spans="1:14" s="28" customFormat="1" ht="47.25" x14ac:dyDescent="0.2">
      <c r="A28" s="72"/>
      <c r="B28" s="19" t="s">
        <v>3</v>
      </c>
      <c r="C28" s="62">
        <v>902</v>
      </c>
      <c r="D28" s="8" t="s">
        <v>2</v>
      </c>
      <c r="E28" s="8" t="s">
        <v>4</v>
      </c>
      <c r="F28" s="5" t="s">
        <v>557</v>
      </c>
      <c r="G28" s="40" t="s">
        <v>557</v>
      </c>
      <c r="H28" s="5" t="s">
        <v>557</v>
      </c>
      <c r="I28" s="5" t="s">
        <v>557</v>
      </c>
      <c r="J28" s="40" t="s">
        <v>557</v>
      </c>
      <c r="K28" s="12">
        <f t="shared" ref="K28:L29" si="2">SUM(K29)</f>
        <v>4341.8</v>
      </c>
      <c r="L28" s="12">
        <f t="shared" si="2"/>
        <v>4341.8</v>
      </c>
      <c r="M28" s="12">
        <f t="shared" si="1"/>
        <v>100</v>
      </c>
      <c r="N28" s="9"/>
    </row>
    <row r="29" spans="1:14" s="28" customFormat="1" ht="47.25" x14ac:dyDescent="0.2">
      <c r="A29" s="72"/>
      <c r="B29" s="19" t="s">
        <v>56</v>
      </c>
      <c r="C29" s="62">
        <v>902</v>
      </c>
      <c r="D29" s="8" t="s">
        <v>2</v>
      </c>
      <c r="E29" s="8" t="s">
        <v>4</v>
      </c>
      <c r="F29" s="8">
        <v>50</v>
      </c>
      <c r="G29" s="40" t="s">
        <v>557</v>
      </c>
      <c r="H29" s="5" t="s">
        <v>557</v>
      </c>
      <c r="I29" s="5" t="s">
        <v>557</v>
      </c>
      <c r="J29" s="40" t="s">
        <v>557</v>
      </c>
      <c r="K29" s="12">
        <f t="shared" si="2"/>
        <v>4341.8</v>
      </c>
      <c r="L29" s="12">
        <f t="shared" si="2"/>
        <v>4341.8</v>
      </c>
      <c r="M29" s="12">
        <f t="shared" si="1"/>
        <v>100</v>
      </c>
      <c r="N29" s="9"/>
    </row>
    <row r="30" spans="1:14" s="28" customFormat="1" ht="31.5" x14ac:dyDescent="0.2">
      <c r="A30" s="72"/>
      <c r="B30" s="19" t="s">
        <v>101</v>
      </c>
      <c r="C30" s="62">
        <v>902</v>
      </c>
      <c r="D30" s="8" t="s">
        <v>2</v>
      </c>
      <c r="E30" s="8" t="s">
        <v>4</v>
      </c>
      <c r="F30" s="8">
        <v>50</v>
      </c>
      <c r="G30" s="63">
        <v>1</v>
      </c>
      <c r="H30" s="5" t="s">
        <v>557</v>
      </c>
      <c r="I30" s="5" t="s">
        <v>557</v>
      </c>
      <c r="J30" s="40" t="s">
        <v>557</v>
      </c>
      <c r="K30" s="12">
        <f>SUM(K31+K33)</f>
        <v>4341.8</v>
      </c>
      <c r="L30" s="12">
        <f>SUM(L31+L33)</f>
        <v>4341.8</v>
      </c>
      <c r="M30" s="12">
        <f t="shared" si="1"/>
        <v>100</v>
      </c>
      <c r="N30" s="9"/>
    </row>
    <row r="31" spans="1:14" s="28" customFormat="1" ht="31.5" x14ac:dyDescent="0.2">
      <c r="A31" s="72"/>
      <c r="B31" s="19" t="s">
        <v>53</v>
      </c>
      <c r="C31" s="62">
        <v>902</v>
      </c>
      <c r="D31" s="8" t="s">
        <v>2</v>
      </c>
      <c r="E31" s="8" t="s">
        <v>4</v>
      </c>
      <c r="F31" s="8">
        <v>50</v>
      </c>
      <c r="G31" s="63">
        <v>1</v>
      </c>
      <c r="H31" s="8" t="s">
        <v>97</v>
      </c>
      <c r="I31" s="8" t="s">
        <v>99</v>
      </c>
      <c r="J31" s="40" t="s">
        <v>557</v>
      </c>
      <c r="K31" s="12">
        <f>SUM(K32:K32)</f>
        <v>3822.4000000000005</v>
      </c>
      <c r="L31" s="12">
        <f>SUM(L32:L32)</f>
        <v>3822.4000000000005</v>
      </c>
      <c r="M31" s="12">
        <f t="shared" si="1"/>
        <v>100</v>
      </c>
      <c r="N31" s="9"/>
    </row>
    <row r="32" spans="1:14" s="28" customFormat="1" ht="48.75" customHeight="1" x14ac:dyDescent="0.2">
      <c r="A32" s="72"/>
      <c r="B32" s="19" t="s">
        <v>54</v>
      </c>
      <c r="C32" s="62">
        <v>902</v>
      </c>
      <c r="D32" s="8" t="s">
        <v>2</v>
      </c>
      <c r="E32" s="8" t="s">
        <v>4</v>
      </c>
      <c r="F32" s="8">
        <v>50</v>
      </c>
      <c r="G32" s="63">
        <v>1</v>
      </c>
      <c r="H32" s="8" t="s">
        <v>97</v>
      </c>
      <c r="I32" s="8" t="s">
        <v>99</v>
      </c>
      <c r="J32" s="8" t="s">
        <v>55</v>
      </c>
      <c r="K32" s="12">
        <f>2963.8+394.8+739-275.2</f>
        <v>3822.4000000000005</v>
      </c>
      <c r="L32" s="12">
        <f>2963.8+394.8+739-275.2</f>
        <v>3822.4000000000005</v>
      </c>
      <c r="M32" s="12">
        <f t="shared" si="1"/>
        <v>100</v>
      </c>
      <c r="N32" s="9"/>
    </row>
    <row r="33" spans="1:14" s="28" customFormat="1" ht="94.5" x14ac:dyDescent="0.2">
      <c r="A33" s="72"/>
      <c r="B33" s="19" t="s">
        <v>526</v>
      </c>
      <c r="C33" s="62">
        <v>902</v>
      </c>
      <c r="D33" s="8" t="s">
        <v>2</v>
      </c>
      <c r="E33" s="8" t="s">
        <v>4</v>
      </c>
      <c r="F33" s="8">
        <v>50</v>
      </c>
      <c r="G33" s="63">
        <v>1</v>
      </c>
      <c r="H33" s="8" t="s">
        <v>97</v>
      </c>
      <c r="I33" s="8" t="s">
        <v>527</v>
      </c>
      <c r="J33" s="40" t="s">
        <v>557</v>
      </c>
      <c r="K33" s="12">
        <f>K34</f>
        <v>519.4</v>
      </c>
      <c r="L33" s="12">
        <f>L34</f>
        <v>519.4</v>
      </c>
      <c r="M33" s="12">
        <f t="shared" si="1"/>
        <v>100</v>
      </c>
      <c r="N33" s="9"/>
    </row>
    <row r="34" spans="1:14" s="28" customFormat="1" ht="49.5" customHeight="1" x14ac:dyDescent="0.2">
      <c r="A34" s="72"/>
      <c r="B34" s="19" t="s">
        <v>54</v>
      </c>
      <c r="C34" s="62">
        <v>902</v>
      </c>
      <c r="D34" s="8" t="s">
        <v>2</v>
      </c>
      <c r="E34" s="8" t="s">
        <v>4</v>
      </c>
      <c r="F34" s="8">
        <v>50</v>
      </c>
      <c r="G34" s="63">
        <v>1</v>
      </c>
      <c r="H34" s="8" t="s">
        <v>97</v>
      </c>
      <c r="I34" s="8" t="s">
        <v>527</v>
      </c>
      <c r="J34" s="8" t="s">
        <v>55</v>
      </c>
      <c r="K34" s="12">
        <v>519.4</v>
      </c>
      <c r="L34" s="12">
        <v>519.4</v>
      </c>
      <c r="M34" s="12">
        <f t="shared" si="1"/>
        <v>100</v>
      </c>
      <c r="N34" s="9"/>
    </row>
    <row r="35" spans="1:14" s="28" customFormat="1" ht="63" x14ac:dyDescent="0.2">
      <c r="A35" s="72"/>
      <c r="B35" s="19" t="s">
        <v>51</v>
      </c>
      <c r="C35" s="62">
        <v>902</v>
      </c>
      <c r="D35" s="8" t="s">
        <v>2</v>
      </c>
      <c r="E35" s="8" t="s">
        <v>6</v>
      </c>
      <c r="F35" s="5" t="s">
        <v>557</v>
      </c>
      <c r="G35" s="40" t="s">
        <v>557</v>
      </c>
      <c r="H35" s="5" t="s">
        <v>557</v>
      </c>
      <c r="I35" s="5" t="s">
        <v>557</v>
      </c>
      <c r="J35" s="40" t="s">
        <v>557</v>
      </c>
      <c r="K35" s="12">
        <f>K41+K46+K36</f>
        <v>126625.40000000001</v>
      </c>
      <c r="L35" s="12">
        <f>L41+L46+L36</f>
        <v>126419.40000000002</v>
      </c>
      <c r="M35" s="12">
        <f t="shared" si="1"/>
        <v>99.837315420128988</v>
      </c>
      <c r="N35" s="9"/>
    </row>
    <row r="36" spans="1:14" s="28" customFormat="1" ht="31.5" x14ac:dyDescent="0.2">
      <c r="A36" s="72"/>
      <c r="B36" s="19" t="s">
        <v>251</v>
      </c>
      <c r="C36" s="62">
        <v>902</v>
      </c>
      <c r="D36" s="8" t="s">
        <v>2</v>
      </c>
      <c r="E36" s="8" t="s">
        <v>6</v>
      </c>
      <c r="F36" s="8" t="s">
        <v>4</v>
      </c>
      <c r="G36" s="40" t="s">
        <v>557</v>
      </c>
      <c r="H36" s="5" t="s">
        <v>557</v>
      </c>
      <c r="I36" s="5" t="s">
        <v>557</v>
      </c>
      <c r="J36" s="40" t="s">
        <v>557</v>
      </c>
      <c r="K36" s="12">
        <f t="shared" ref="K36:L39" si="3">K37</f>
        <v>4.4000000000000004</v>
      </c>
      <c r="L36" s="12">
        <f t="shared" si="3"/>
        <v>0</v>
      </c>
      <c r="M36" s="12">
        <f t="shared" si="1"/>
        <v>0</v>
      </c>
      <c r="N36" s="9"/>
    </row>
    <row r="37" spans="1:14" s="28" customFormat="1" ht="31.5" x14ac:dyDescent="0.2">
      <c r="A37" s="72"/>
      <c r="B37" s="19" t="s">
        <v>136</v>
      </c>
      <c r="C37" s="62">
        <v>902</v>
      </c>
      <c r="D37" s="8" t="s">
        <v>2</v>
      </c>
      <c r="E37" s="8" t="s">
        <v>6</v>
      </c>
      <c r="F37" s="8" t="s">
        <v>4</v>
      </c>
      <c r="G37" s="63">
        <v>1</v>
      </c>
      <c r="H37" s="5" t="s">
        <v>557</v>
      </c>
      <c r="I37" s="5" t="s">
        <v>557</v>
      </c>
      <c r="J37" s="40" t="s">
        <v>557</v>
      </c>
      <c r="K37" s="12">
        <f t="shared" si="3"/>
        <v>4.4000000000000004</v>
      </c>
      <c r="L37" s="12">
        <f t="shared" si="3"/>
        <v>0</v>
      </c>
      <c r="M37" s="12">
        <f t="shared" si="1"/>
        <v>0</v>
      </c>
      <c r="N37" s="9"/>
    </row>
    <row r="38" spans="1:14" s="28" customFormat="1" ht="78.75" x14ac:dyDescent="0.2">
      <c r="A38" s="72"/>
      <c r="B38" s="41" t="s">
        <v>137</v>
      </c>
      <c r="C38" s="62">
        <v>902</v>
      </c>
      <c r="D38" s="8" t="s">
        <v>2</v>
      </c>
      <c r="E38" s="8" t="s">
        <v>6</v>
      </c>
      <c r="F38" s="8" t="s">
        <v>4</v>
      </c>
      <c r="G38" s="63">
        <v>1</v>
      </c>
      <c r="H38" s="8" t="s">
        <v>2</v>
      </c>
      <c r="I38" s="5" t="s">
        <v>557</v>
      </c>
      <c r="J38" s="40" t="s">
        <v>557</v>
      </c>
      <c r="K38" s="12">
        <f t="shared" si="3"/>
        <v>4.4000000000000004</v>
      </c>
      <c r="L38" s="12">
        <f t="shared" si="3"/>
        <v>0</v>
      </c>
      <c r="M38" s="12">
        <f t="shared" si="1"/>
        <v>0</v>
      </c>
      <c r="N38" s="9"/>
    </row>
    <row r="39" spans="1:14" s="28" customFormat="1" ht="189.75" customHeight="1" x14ac:dyDescent="0.2">
      <c r="A39" s="72"/>
      <c r="B39" s="19" t="s">
        <v>554</v>
      </c>
      <c r="C39" s="62">
        <v>902</v>
      </c>
      <c r="D39" s="8" t="s">
        <v>2</v>
      </c>
      <c r="E39" s="8" t="s">
        <v>6</v>
      </c>
      <c r="F39" s="8" t="s">
        <v>4</v>
      </c>
      <c r="G39" s="63">
        <v>1</v>
      </c>
      <c r="H39" s="8" t="s">
        <v>2</v>
      </c>
      <c r="I39" s="8" t="s">
        <v>488</v>
      </c>
      <c r="J39" s="40" t="s">
        <v>557</v>
      </c>
      <c r="K39" s="12">
        <f t="shared" si="3"/>
        <v>4.4000000000000004</v>
      </c>
      <c r="L39" s="12">
        <f t="shared" si="3"/>
        <v>0</v>
      </c>
      <c r="M39" s="12">
        <f t="shared" si="1"/>
        <v>0</v>
      </c>
      <c r="N39" s="9"/>
    </row>
    <row r="40" spans="1:14" s="28" customFormat="1" ht="31.5" x14ac:dyDescent="0.2">
      <c r="A40" s="72"/>
      <c r="B40" s="19" t="s">
        <v>164</v>
      </c>
      <c r="C40" s="62">
        <v>902</v>
      </c>
      <c r="D40" s="8" t="s">
        <v>2</v>
      </c>
      <c r="E40" s="8" t="s">
        <v>6</v>
      </c>
      <c r="F40" s="8" t="s">
        <v>4</v>
      </c>
      <c r="G40" s="63">
        <v>1</v>
      </c>
      <c r="H40" s="8" t="s">
        <v>2</v>
      </c>
      <c r="I40" s="8" t="s">
        <v>488</v>
      </c>
      <c r="J40" s="8" t="s">
        <v>57</v>
      </c>
      <c r="K40" s="12">
        <v>4.4000000000000004</v>
      </c>
      <c r="L40" s="12">
        <v>0</v>
      </c>
      <c r="M40" s="12">
        <f t="shared" si="1"/>
        <v>0</v>
      </c>
      <c r="N40" s="9"/>
    </row>
    <row r="41" spans="1:14" s="28" customFormat="1" ht="31.5" x14ac:dyDescent="0.2">
      <c r="A41" s="72"/>
      <c r="B41" s="41" t="s">
        <v>435</v>
      </c>
      <c r="C41" s="62">
        <v>902</v>
      </c>
      <c r="D41" s="8" t="s">
        <v>2</v>
      </c>
      <c r="E41" s="8" t="s">
        <v>6</v>
      </c>
      <c r="F41" s="8" t="s">
        <v>115</v>
      </c>
      <c r="G41" s="40" t="s">
        <v>557</v>
      </c>
      <c r="H41" s="5" t="s">
        <v>557</v>
      </c>
      <c r="I41" s="5" t="s">
        <v>557</v>
      </c>
      <c r="J41" s="40" t="s">
        <v>557</v>
      </c>
      <c r="K41" s="12">
        <f t="shared" ref="K41:L44" si="4">K42</f>
        <v>78</v>
      </c>
      <c r="L41" s="12">
        <f t="shared" si="4"/>
        <v>77.599999999999994</v>
      </c>
      <c r="M41" s="12">
        <f t="shared" si="1"/>
        <v>99.487179487179475</v>
      </c>
      <c r="N41" s="9"/>
    </row>
    <row r="42" spans="1:14" s="28" customFormat="1" ht="47.25" x14ac:dyDescent="0.2">
      <c r="A42" s="72"/>
      <c r="B42" s="41" t="s">
        <v>436</v>
      </c>
      <c r="C42" s="62">
        <v>902</v>
      </c>
      <c r="D42" s="8" t="s">
        <v>2</v>
      </c>
      <c r="E42" s="8" t="s">
        <v>6</v>
      </c>
      <c r="F42" s="8" t="s">
        <v>115</v>
      </c>
      <c r="G42" s="63">
        <v>6</v>
      </c>
      <c r="H42" s="5" t="s">
        <v>557</v>
      </c>
      <c r="I42" s="5" t="s">
        <v>557</v>
      </c>
      <c r="J42" s="40" t="s">
        <v>557</v>
      </c>
      <c r="K42" s="12">
        <f t="shared" si="4"/>
        <v>78</v>
      </c>
      <c r="L42" s="12">
        <f t="shared" si="4"/>
        <v>77.599999999999994</v>
      </c>
      <c r="M42" s="12">
        <f t="shared" si="1"/>
        <v>99.487179487179475</v>
      </c>
      <c r="N42" s="9"/>
    </row>
    <row r="43" spans="1:14" s="28" customFormat="1" ht="31.5" x14ac:dyDescent="0.2">
      <c r="A43" s="72"/>
      <c r="B43" s="41" t="s">
        <v>443</v>
      </c>
      <c r="C43" s="62">
        <v>902</v>
      </c>
      <c r="D43" s="8" t="s">
        <v>2</v>
      </c>
      <c r="E43" s="8" t="s">
        <v>6</v>
      </c>
      <c r="F43" s="8" t="s">
        <v>115</v>
      </c>
      <c r="G43" s="63">
        <v>6</v>
      </c>
      <c r="H43" s="8" t="s">
        <v>2</v>
      </c>
      <c r="I43" s="5" t="s">
        <v>557</v>
      </c>
      <c r="J43" s="40" t="s">
        <v>557</v>
      </c>
      <c r="K43" s="12">
        <f t="shared" si="4"/>
        <v>78</v>
      </c>
      <c r="L43" s="12">
        <f t="shared" si="4"/>
        <v>77.599999999999994</v>
      </c>
      <c r="M43" s="12">
        <f t="shared" si="1"/>
        <v>99.487179487179475</v>
      </c>
      <c r="N43" s="9"/>
    </row>
    <row r="44" spans="1:14" s="28" customFormat="1" ht="145.5" customHeight="1" x14ac:dyDescent="0.2">
      <c r="A44" s="72"/>
      <c r="B44" s="42" t="s">
        <v>426</v>
      </c>
      <c r="C44" s="62">
        <v>902</v>
      </c>
      <c r="D44" s="8" t="s">
        <v>2</v>
      </c>
      <c r="E44" s="8" t="s">
        <v>6</v>
      </c>
      <c r="F44" s="8" t="s">
        <v>115</v>
      </c>
      <c r="G44" s="63">
        <v>6</v>
      </c>
      <c r="H44" s="8" t="s">
        <v>2</v>
      </c>
      <c r="I44" s="8" t="s">
        <v>114</v>
      </c>
      <c r="J44" s="40" t="s">
        <v>557</v>
      </c>
      <c r="K44" s="12">
        <f t="shared" si="4"/>
        <v>78</v>
      </c>
      <c r="L44" s="12">
        <f t="shared" si="4"/>
        <v>77.599999999999994</v>
      </c>
      <c r="M44" s="12">
        <f t="shared" si="1"/>
        <v>99.487179487179475</v>
      </c>
      <c r="N44" s="9"/>
    </row>
    <row r="45" spans="1:14" s="28" customFormat="1" ht="31.5" x14ac:dyDescent="0.2">
      <c r="A45" s="72"/>
      <c r="B45" s="19" t="s">
        <v>164</v>
      </c>
      <c r="C45" s="62">
        <v>902</v>
      </c>
      <c r="D45" s="8" t="s">
        <v>2</v>
      </c>
      <c r="E45" s="8" t="s">
        <v>6</v>
      </c>
      <c r="F45" s="8" t="s">
        <v>115</v>
      </c>
      <c r="G45" s="63">
        <v>6</v>
      </c>
      <c r="H45" s="8" t="s">
        <v>2</v>
      </c>
      <c r="I45" s="8" t="s">
        <v>114</v>
      </c>
      <c r="J45" s="8" t="s">
        <v>57</v>
      </c>
      <c r="K45" s="12">
        <v>78</v>
      </c>
      <c r="L45" s="12">
        <v>77.599999999999994</v>
      </c>
      <c r="M45" s="12">
        <f t="shared" si="1"/>
        <v>99.487179487179475</v>
      </c>
      <c r="N45" s="9"/>
    </row>
    <row r="46" spans="1:14" ht="31.5" x14ac:dyDescent="0.2">
      <c r="A46" s="72"/>
      <c r="B46" s="19" t="s">
        <v>85</v>
      </c>
      <c r="C46" s="62">
        <v>902</v>
      </c>
      <c r="D46" s="8" t="s">
        <v>2</v>
      </c>
      <c r="E46" s="8" t="s">
        <v>6</v>
      </c>
      <c r="F46" s="8">
        <v>52</v>
      </c>
      <c r="G46" s="40" t="s">
        <v>557</v>
      </c>
      <c r="H46" s="5" t="s">
        <v>557</v>
      </c>
      <c r="I46" s="5" t="s">
        <v>557</v>
      </c>
      <c r="J46" s="40" t="s">
        <v>557</v>
      </c>
      <c r="K46" s="12">
        <f>SUM(K47+K61)</f>
        <v>126543.00000000001</v>
      </c>
      <c r="L46" s="12">
        <f>SUM(L47+L61)</f>
        <v>126341.80000000002</v>
      </c>
      <c r="M46" s="12">
        <f t="shared" si="1"/>
        <v>99.841002663126361</v>
      </c>
    </row>
    <row r="47" spans="1:14" ht="30.75" customHeight="1" x14ac:dyDescent="0.2">
      <c r="A47" s="72"/>
      <c r="B47" s="19" t="s">
        <v>58</v>
      </c>
      <c r="C47" s="62">
        <v>902</v>
      </c>
      <c r="D47" s="8" t="s">
        <v>2</v>
      </c>
      <c r="E47" s="8" t="s">
        <v>6</v>
      </c>
      <c r="F47" s="8">
        <v>52</v>
      </c>
      <c r="G47" s="63">
        <v>1</v>
      </c>
      <c r="H47" s="5" t="s">
        <v>557</v>
      </c>
      <c r="I47" s="5" t="s">
        <v>557</v>
      </c>
      <c r="J47" s="40" t="s">
        <v>557</v>
      </c>
      <c r="K47" s="12">
        <f>K48+K55+K58+K52</f>
        <v>124978.60000000002</v>
      </c>
      <c r="L47" s="12">
        <f>L48+L55+L58+L52</f>
        <v>124856.60000000002</v>
      </c>
      <c r="M47" s="12">
        <f t="shared" si="1"/>
        <v>99.90238328801891</v>
      </c>
    </row>
    <row r="48" spans="1:14" ht="31.5" x14ac:dyDescent="0.2">
      <c r="A48" s="72"/>
      <c r="B48" s="19" t="s">
        <v>53</v>
      </c>
      <c r="C48" s="62">
        <v>902</v>
      </c>
      <c r="D48" s="8" t="s">
        <v>2</v>
      </c>
      <c r="E48" s="8" t="s">
        <v>6</v>
      </c>
      <c r="F48" s="8">
        <v>52</v>
      </c>
      <c r="G48" s="63">
        <v>1</v>
      </c>
      <c r="H48" s="8" t="s">
        <v>97</v>
      </c>
      <c r="I48" s="8" t="s">
        <v>99</v>
      </c>
      <c r="J48" s="40" t="s">
        <v>557</v>
      </c>
      <c r="K48" s="12">
        <f>K49+K50+K51</f>
        <v>122800.6</v>
      </c>
      <c r="L48" s="12">
        <f>L49+L50+L51</f>
        <v>122678.6</v>
      </c>
      <c r="M48" s="12">
        <f t="shared" si="1"/>
        <v>99.900651951211955</v>
      </c>
    </row>
    <row r="49" spans="1:14" ht="49.5" customHeight="1" x14ac:dyDescent="0.2">
      <c r="A49" s="72"/>
      <c r="B49" s="19" t="s">
        <v>54</v>
      </c>
      <c r="C49" s="62">
        <v>902</v>
      </c>
      <c r="D49" s="8" t="s">
        <v>2</v>
      </c>
      <c r="E49" s="8" t="s">
        <v>6</v>
      </c>
      <c r="F49" s="8">
        <v>52</v>
      </c>
      <c r="G49" s="63">
        <v>1</v>
      </c>
      <c r="H49" s="8" t="s">
        <v>97</v>
      </c>
      <c r="I49" s="8" t="s">
        <v>99</v>
      </c>
      <c r="J49" s="8" t="s">
        <v>55</v>
      </c>
      <c r="K49" s="12">
        <v>121574.6</v>
      </c>
      <c r="L49" s="12">
        <v>121531.6</v>
      </c>
      <c r="M49" s="12">
        <f t="shared" si="1"/>
        <v>99.964630769914109</v>
      </c>
    </row>
    <row r="50" spans="1:14" ht="31.5" x14ac:dyDescent="0.2">
      <c r="A50" s="72"/>
      <c r="B50" s="19" t="s">
        <v>164</v>
      </c>
      <c r="C50" s="62">
        <v>902</v>
      </c>
      <c r="D50" s="8" t="s">
        <v>2</v>
      </c>
      <c r="E50" s="8" t="s">
        <v>6</v>
      </c>
      <c r="F50" s="8">
        <v>52</v>
      </c>
      <c r="G50" s="63">
        <v>1</v>
      </c>
      <c r="H50" s="8" t="s">
        <v>97</v>
      </c>
      <c r="I50" s="8" t="s">
        <v>99</v>
      </c>
      <c r="J50" s="8" t="s">
        <v>57</v>
      </c>
      <c r="K50" s="12">
        <f>1426.1+47.2-190.8-100+33.3-33.3-335.2</f>
        <v>847.3</v>
      </c>
      <c r="L50" s="12">
        <v>768.3</v>
      </c>
      <c r="M50" s="12">
        <f t="shared" si="1"/>
        <v>90.676265785436101</v>
      </c>
    </row>
    <row r="51" spans="1:14" x14ac:dyDescent="0.2">
      <c r="A51" s="72"/>
      <c r="B51" s="19" t="s">
        <v>59</v>
      </c>
      <c r="C51" s="62">
        <v>902</v>
      </c>
      <c r="D51" s="8" t="s">
        <v>2</v>
      </c>
      <c r="E51" s="8" t="s">
        <v>6</v>
      </c>
      <c r="F51" s="8">
        <v>52</v>
      </c>
      <c r="G51" s="63">
        <v>1</v>
      </c>
      <c r="H51" s="8" t="s">
        <v>97</v>
      </c>
      <c r="I51" s="8" t="s">
        <v>99</v>
      </c>
      <c r="J51" s="8" t="s">
        <v>60</v>
      </c>
      <c r="K51" s="12">
        <f>306.2+82.5-10</f>
        <v>378.7</v>
      </c>
      <c r="L51" s="12">
        <f>306.2+82.5-10</f>
        <v>378.7</v>
      </c>
      <c r="M51" s="12">
        <f t="shared" si="1"/>
        <v>100</v>
      </c>
    </row>
    <row r="52" spans="1:14" ht="94.5" x14ac:dyDescent="0.2">
      <c r="A52" s="72"/>
      <c r="B52" s="19" t="s">
        <v>526</v>
      </c>
      <c r="C52" s="62">
        <v>902</v>
      </c>
      <c r="D52" s="8" t="s">
        <v>2</v>
      </c>
      <c r="E52" s="8" t="s">
        <v>6</v>
      </c>
      <c r="F52" s="8">
        <v>52</v>
      </c>
      <c r="G52" s="63">
        <v>1</v>
      </c>
      <c r="H52" s="8" t="s">
        <v>97</v>
      </c>
      <c r="I52" s="8" t="s">
        <v>527</v>
      </c>
      <c r="J52" s="40" t="s">
        <v>557</v>
      </c>
      <c r="K52" s="12">
        <f>K54+K53</f>
        <v>145.1</v>
      </c>
      <c r="L52" s="12">
        <f>L54+L53</f>
        <v>145.1</v>
      </c>
      <c r="M52" s="12">
        <f t="shared" si="1"/>
        <v>100</v>
      </c>
    </row>
    <row r="53" spans="1:14" ht="49.5" customHeight="1" x14ac:dyDescent="0.2">
      <c r="A53" s="72"/>
      <c r="B53" s="19" t="s">
        <v>54</v>
      </c>
      <c r="C53" s="62">
        <v>902</v>
      </c>
      <c r="D53" s="8" t="s">
        <v>2</v>
      </c>
      <c r="E53" s="8" t="s">
        <v>6</v>
      </c>
      <c r="F53" s="8">
        <v>52</v>
      </c>
      <c r="G53" s="63">
        <v>1</v>
      </c>
      <c r="H53" s="8" t="s">
        <v>97</v>
      </c>
      <c r="I53" s="8" t="s">
        <v>527</v>
      </c>
      <c r="J53" s="8" t="s">
        <v>55</v>
      </c>
      <c r="K53" s="12">
        <v>103.8</v>
      </c>
      <c r="L53" s="12">
        <v>103.8</v>
      </c>
      <c r="M53" s="12">
        <f t="shared" si="1"/>
        <v>100</v>
      </c>
    </row>
    <row r="54" spans="1:14" ht="31.5" x14ac:dyDescent="0.2">
      <c r="A54" s="72"/>
      <c r="B54" s="19" t="s">
        <v>164</v>
      </c>
      <c r="C54" s="62">
        <v>902</v>
      </c>
      <c r="D54" s="8" t="s">
        <v>2</v>
      </c>
      <c r="E54" s="8" t="s">
        <v>6</v>
      </c>
      <c r="F54" s="8">
        <v>52</v>
      </c>
      <c r="G54" s="63">
        <v>1</v>
      </c>
      <c r="H54" s="8" t="s">
        <v>97</v>
      </c>
      <c r="I54" s="8" t="s">
        <v>527</v>
      </c>
      <c r="J54" s="8" t="s">
        <v>57</v>
      </c>
      <c r="K54" s="12">
        <f>33.3+8</f>
        <v>41.3</v>
      </c>
      <c r="L54" s="12">
        <f>33.3+8</f>
        <v>41.3</v>
      </c>
      <c r="M54" s="12">
        <f t="shared" si="1"/>
        <v>100</v>
      </c>
    </row>
    <row r="55" spans="1:14" ht="83.25" customHeight="1" x14ac:dyDescent="0.2">
      <c r="A55" s="72"/>
      <c r="B55" s="19" t="s">
        <v>309</v>
      </c>
      <c r="C55" s="62">
        <v>902</v>
      </c>
      <c r="D55" s="8" t="s">
        <v>2</v>
      </c>
      <c r="E55" s="8" t="s">
        <v>6</v>
      </c>
      <c r="F55" s="8">
        <v>52</v>
      </c>
      <c r="G55" s="63">
        <v>1</v>
      </c>
      <c r="H55" s="8" t="s">
        <v>97</v>
      </c>
      <c r="I55" s="8" t="s">
        <v>310</v>
      </c>
      <c r="J55" s="40" t="s">
        <v>557</v>
      </c>
      <c r="K55" s="12">
        <f>SUM(K56:K57)</f>
        <v>1422.8</v>
      </c>
      <c r="L55" s="12">
        <f>SUM(L56:L57)</f>
        <v>1422.8</v>
      </c>
      <c r="M55" s="12">
        <f t="shared" si="1"/>
        <v>100</v>
      </c>
    </row>
    <row r="56" spans="1:14" ht="48" customHeight="1" x14ac:dyDescent="0.2">
      <c r="A56" s="72"/>
      <c r="B56" s="19" t="s">
        <v>54</v>
      </c>
      <c r="C56" s="62">
        <v>902</v>
      </c>
      <c r="D56" s="8" t="s">
        <v>2</v>
      </c>
      <c r="E56" s="8" t="s">
        <v>6</v>
      </c>
      <c r="F56" s="8">
        <v>52</v>
      </c>
      <c r="G56" s="63">
        <v>1</v>
      </c>
      <c r="H56" s="8" t="s">
        <v>97</v>
      </c>
      <c r="I56" s="8" t="s">
        <v>310</v>
      </c>
      <c r="J56" s="8" t="s">
        <v>55</v>
      </c>
      <c r="K56" s="12">
        <v>1409.6</v>
      </c>
      <c r="L56" s="12">
        <v>1409.6</v>
      </c>
      <c r="M56" s="12">
        <f t="shared" si="1"/>
        <v>100</v>
      </c>
    </row>
    <row r="57" spans="1:14" ht="31.5" x14ac:dyDescent="0.2">
      <c r="A57" s="72"/>
      <c r="B57" s="19" t="s">
        <v>164</v>
      </c>
      <c r="C57" s="62">
        <v>902</v>
      </c>
      <c r="D57" s="8" t="s">
        <v>2</v>
      </c>
      <c r="E57" s="8" t="s">
        <v>6</v>
      </c>
      <c r="F57" s="8">
        <v>52</v>
      </c>
      <c r="G57" s="63">
        <v>1</v>
      </c>
      <c r="H57" s="8" t="s">
        <v>97</v>
      </c>
      <c r="I57" s="8" t="s">
        <v>310</v>
      </c>
      <c r="J57" s="8" t="s">
        <v>57</v>
      </c>
      <c r="K57" s="12">
        <v>13.2</v>
      </c>
      <c r="L57" s="12">
        <v>13.2</v>
      </c>
      <c r="M57" s="12">
        <f t="shared" si="1"/>
        <v>100</v>
      </c>
    </row>
    <row r="58" spans="1:14" ht="63.75" customHeight="1" x14ac:dyDescent="0.2">
      <c r="A58" s="72"/>
      <c r="B58" s="19" t="s">
        <v>218</v>
      </c>
      <c r="C58" s="62">
        <v>902</v>
      </c>
      <c r="D58" s="8" t="s">
        <v>2</v>
      </c>
      <c r="E58" s="8" t="s">
        <v>6</v>
      </c>
      <c r="F58" s="8">
        <v>52</v>
      </c>
      <c r="G58" s="63">
        <v>1</v>
      </c>
      <c r="H58" s="8" t="s">
        <v>97</v>
      </c>
      <c r="I58" s="8" t="s">
        <v>219</v>
      </c>
      <c r="J58" s="40" t="s">
        <v>557</v>
      </c>
      <c r="K58" s="12">
        <f>SUM(K59:K60)</f>
        <v>610.09999999999991</v>
      </c>
      <c r="L58" s="12">
        <f>SUM(L59:L60)</f>
        <v>610.09999999999991</v>
      </c>
      <c r="M58" s="12">
        <f t="shared" si="1"/>
        <v>100</v>
      </c>
    </row>
    <row r="59" spans="1:14" ht="49.5" customHeight="1" x14ac:dyDescent="0.2">
      <c r="A59" s="72"/>
      <c r="B59" s="19" t="s">
        <v>54</v>
      </c>
      <c r="C59" s="62">
        <v>902</v>
      </c>
      <c r="D59" s="8" t="s">
        <v>2</v>
      </c>
      <c r="E59" s="8" t="s">
        <v>6</v>
      </c>
      <c r="F59" s="8">
        <v>52</v>
      </c>
      <c r="G59" s="63">
        <v>1</v>
      </c>
      <c r="H59" s="8" t="s">
        <v>97</v>
      </c>
      <c r="I59" s="8" t="s">
        <v>219</v>
      </c>
      <c r="J59" s="8" t="s">
        <v>55</v>
      </c>
      <c r="K59" s="12">
        <v>539.79999999999995</v>
      </c>
      <c r="L59" s="12">
        <v>539.79999999999995</v>
      </c>
      <c r="M59" s="12">
        <f t="shared" si="1"/>
        <v>100</v>
      </c>
    </row>
    <row r="60" spans="1:14" ht="31.5" x14ac:dyDescent="0.2">
      <c r="A60" s="72"/>
      <c r="B60" s="19" t="s">
        <v>164</v>
      </c>
      <c r="C60" s="62">
        <v>902</v>
      </c>
      <c r="D60" s="8" t="s">
        <v>2</v>
      </c>
      <c r="E60" s="8" t="s">
        <v>6</v>
      </c>
      <c r="F60" s="8">
        <v>52</v>
      </c>
      <c r="G60" s="63">
        <v>1</v>
      </c>
      <c r="H60" s="8" t="s">
        <v>97</v>
      </c>
      <c r="I60" s="8" t="s">
        <v>219</v>
      </c>
      <c r="J60" s="8" t="s">
        <v>57</v>
      </c>
      <c r="K60" s="12">
        <v>70.3</v>
      </c>
      <c r="L60" s="12">
        <v>70.3</v>
      </c>
      <c r="M60" s="12">
        <f t="shared" si="1"/>
        <v>100</v>
      </c>
    </row>
    <row r="61" spans="1:14" ht="31.5" x14ac:dyDescent="0.2">
      <c r="A61" s="72"/>
      <c r="B61" s="19" t="s">
        <v>61</v>
      </c>
      <c r="C61" s="62">
        <v>902</v>
      </c>
      <c r="D61" s="8" t="s">
        <v>2</v>
      </c>
      <c r="E61" s="8" t="s">
        <v>6</v>
      </c>
      <c r="F61" s="8" t="s">
        <v>104</v>
      </c>
      <c r="G61" s="63">
        <v>2</v>
      </c>
      <c r="H61" s="5" t="s">
        <v>557</v>
      </c>
      <c r="I61" s="5" t="s">
        <v>557</v>
      </c>
      <c r="J61" s="40" t="s">
        <v>557</v>
      </c>
      <c r="K61" s="12">
        <f>SUM(K64+K67+K62)</f>
        <v>1564.4</v>
      </c>
      <c r="L61" s="12">
        <f>SUM(L64+L67+L62)</f>
        <v>1485.2</v>
      </c>
      <c r="M61" s="12">
        <f t="shared" si="1"/>
        <v>94.937356174891335</v>
      </c>
    </row>
    <row r="62" spans="1:14" ht="45.75" customHeight="1" x14ac:dyDescent="0.2">
      <c r="A62" s="72"/>
      <c r="B62" s="19" t="s">
        <v>540</v>
      </c>
      <c r="C62" s="62">
        <v>902</v>
      </c>
      <c r="D62" s="8" t="s">
        <v>2</v>
      </c>
      <c r="E62" s="8" t="s">
        <v>6</v>
      </c>
      <c r="F62" s="8" t="s">
        <v>104</v>
      </c>
      <c r="G62" s="63">
        <v>2</v>
      </c>
      <c r="H62" s="8" t="s">
        <v>97</v>
      </c>
      <c r="I62" s="8" t="s">
        <v>539</v>
      </c>
      <c r="J62" s="40" t="s">
        <v>557</v>
      </c>
      <c r="K62" s="12">
        <f>K63</f>
        <v>52.6</v>
      </c>
      <c r="L62" s="12">
        <f>L63</f>
        <v>52.6</v>
      </c>
      <c r="M62" s="12">
        <f t="shared" si="1"/>
        <v>100</v>
      </c>
    </row>
    <row r="63" spans="1:14" ht="49.5" customHeight="1" x14ac:dyDescent="0.2">
      <c r="A63" s="72"/>
      <c r="B63" s="19" t="s">
        <v>54</v>
      </c>
      <c r="C63" s="62">
        <v>902</v>
      </c>
      <c r="D63" s="8" t="s">
        <v>2</v>
      </c>
      <c r="E63" s="8" t="s">
        <v>6</v>
      </c>
      <c r="F63" s="8" t="s">
        <v>104</v>
      </c>
      <c r="G63" s="63">
        <v>2</v>
      </c>
      <c r="H63" s="8" t="s">
        <v>97</v>
      </c>
      <c r="I63" s="8" t="s">
        <v>539</v>
      </c>
      <c r="J63" s="8" t="s">
        <v>55</v>
      </c>
      <c r="K63" s="12">
        <v>52.6</v>
      </c>
      <c r="L63" s="12">
        <v>52.6</v>
      </c>
      <c r="M63" s="12">
        <f t="shared" si="1"/>
        <v>100</v>
      </c>
    </row>
    <row r="64" spans="1:14" s="28" customFormat="1" ht="47.25" x14ac:dyDescent="0.2">
      <c r="A64" s="72"/>
      <c r="B64" s="43" t="s">
        <v>342</v>
      </c>
      <c r="C64" s="62">
        <v>902</v>
      </c>
      <c r="D64" s="8" t="s">
        <v>2</v>
      </c>
      <c r="E64" s="8" t="s">
        <v>6</v>
      </c>
      <c r="F64" s="8" t="s">
        <v>104</v>
      </c>
      <c r="G64" s="63">
        <v>2</v>
      </c>
      <c r="H64" s="8" t="s">
        <v>97</v>
      </c>
      <c r="I64" s="8" t="s">
        <v>105</v>
      </c>
      <c r="J64" s="40" t="s">
        <v>557</v>
      </c>
      <c r="K64" s="12">
        <f>SUM(K65:K66)</f>
        <v>756.00000000000011</v>
      </c>
      <c r="L64" s="12">
        <f>SUM(L65:L66)</f>
        <v>756.00000000000011</v>
      </c>
      <c r="M64" s="12">
        <f t="shared" si="1"/>
        <v>100</v>
      </c>
      <c r="N64" s="9"/>
    </row>
    <row r="65" spans="1:14" s="28" customFormat="1" ht="78.75" x14ac:dyDescent="0.2">
      <c r="A65" s="72"/>
      <c r="B65" s="19" t="s">
        <v>163</v>
      </c>
      <c r="C65" s="62">
        <v>902</v>
      </c>
      <c r="D65" s="8" t="s">
        <v>2</v>
      </c>
      <c r="E65" s="8" t="s">
        <v>6</v>
      </c>
      <c r="F65" s="8" t="s">
        <v>104</v>
      </c>
      <c r="G65" s="63">
        <v>2</v>
      </c>
      <c r="H65" s="8" t="s">
        <v>97</v>
      </c>
      <c r="I65" s="8" t="s">
        <v>105</v>
      </c>
      <c r="J65" s="8" t="s">
        <v>55</v>
      </c>
      <c r="K65" s="12">
        <f>676.6+71.2</f>
        <v>747.80000000000007</v>
      </c>
      <c r="L65" s="12">
        <f>676.6+71.2</f>
        <v>747.80000000000007</v>
      </c>
      <c r="M65" s="12">
        <f t="shared" si="1"/>
        <v>100</v>
      </c>
      <c r="N65" s="9"/>
    </row>
    <row r="66" spans="1:14" s="28" customFormat="1" ht="31.5" x14ac:dyDescent="0.2">
      <c r="A66" s="72"/>
      <c r="B66" s="19" t="s">
        <v>164</v>
      </c>
      <c r="C66" s="62">
        <v>902</v>
      </c>
      <c r="D66" s="8" t="s">
        <v>2</v>
      </c>
      <c r="E66" s="8" t="s">
        <v>6</v>
      </c>
      <c r="F66" s="8" t="s">
        <v>104</v>
      </c>
      <c r="G66" s="63">
        <v>2</v>
      </c>
      <c r="H66" s="8" t="s">
        <v>97</v>
      </c>
      <c r="I66" s="8" t="s">
        <v>105</v>
      </c>
      <c r="J66" s="8" t="s">
        <v>57</v>
      </c>
      <c r="K66" s="12">
        <f>79.4-71.2</f>
        <v>8.2000000000000028</v>
      </c>
      <c r="L66" s="12">
        <f>79.4-71.2</f>
        <v>8.2000000000000028</v>
      </c>
      <c r="M66" s="12">
        <f t="shared" si="1"/>
        <v>100</v>
      </c>
      <c r="N66" s="9"/>
    </row>
    <row r="67" spans="1:14" s="28" customFormat="1" ht="81" customHeight="1" x14ac:dyDescent="0.2">
      <c r="A67" s="72"/>
      <c r="B67" s="44" t="s">
        <v>401</v>
      </c>
      <c r="C67" s="62">
        <v>902</v>
      </c>
      <c r="D67" s="8" t="s">
        <v>2</v>
      </c>
      <c r="E67" s="8" t="s">
        <v>6</v>
      </c>
      <c r="F67" s="8" t="s">
        <v>104</v>
      </c>
      <c r="G67" s="63">
        <v>2</v>
      </c>
      <c r="H67" s="8" t="s">
        <v>97</v>
      </c>
      <c r="I67" s="8" t="s">
        <v>400</v>
      </c>
      <c r="J67" s="40" t="s">
        <v>557</v>
      </c>
      <c r="K67" s="12">
        <f>SUM(K68:K69)</f>
        <v>755.80000000000007</v>
      </c>
      <c r="L67" s="12">
        <f>SUM(L68:L69)</f>
        <v>676.6</v>
      </c>
      <c r="M67" s="12">
        <f t="shared" si="1"/>
        <v>89.521037311458045</v>
      </c>
      <c r="N67" s="9"/>
    </row>
    <row r="68" spans="1:14" s="28" customFormat="1" ht="78.75" x14ac:dyDescent="0.2">
      <c r="A68" s="72"/>
      <c r="B68" s="19" t="s">
        <v>163</v>
      </c>
      <c r="C68" s="62">
        <v>902</v>
      </c>
      <c r="D68" s="8" t="s">
        <v>2</v>
      </c>
      <c r="E68" s="8" t="s">
        <v>6</v>
      </c>
      <c r="F68" s="8" t="s">
        <v>104</v>
      </c>
      <c r="G68" s="63">
        <v>2</v>
      </c>
      <c r="H68" s="8" t="s">
        <v>97</v>
      </c>
      <c r="I68" s="8" t="s">
        <v>400</v>
      </c>
      <c r="J68" s="8" t="s">
        <v>55</v>
      </c>
      <c r="K68" s="12">
        <v>676.6</v>
      </c>
      <c r="L68" s="12">
        <v>669.5</v>
      </c>
      <c r="M68" s="12">
        <f t="shared" si="1"/>
        <v>98.950635530594141</v>
      </c>
      <c r="N68" s="9"/>
    </row>
    <row r="69" spans="1:14" s="28" customFormat="1" ht="31.5" x14ac:dyDescent="0.2">
      <c r="A69" s="72"/>
      <c r="B69" s="19" t="s">
        <v>164</v>
      </c>
      <c r="C69" s="62">
        <v>902</v>
      </c>
      <c r="D69" s="8" t="s">
        <v>2</v>
      </c>
      <c r="E69" s="8" t="s">
        <v>6</v>
      </c>
      <c r="F69" s="8" t="s">
        <v>104</v>
      </c>
      <c r="G69" s="63">
        <v>2</v>
      </c>
      <c r="H69" s="8" t="s">
        <v>97</v>
      </c>
      <c r="I69" s="8" t="s">
        <v>400</v>
      </c>
      <c r="J69" s="8" t="s">
        <v>57</v>
      </c>
      <c r="K69" s="12">
        <v>79.2</v>
      </c>
      <c r="L69" s="12">
        <v>7.1</v>
      </c>
      <c r="M69" s="12">
        <f t="shared" si="1"/>
        <v>8.9646464646464636</v>
      </c>
      <c r="N69" s="9"/>
    </row>
    <row r="70" spans="1:14" s="28" customFormat="1" x14ac:dyDescent="0.2">
      <c r="A70" s="72"/>
      <c r="B70" s="19" t="s">
        <v>289</v>
      </c>
      <c r="C70" s="62">
        <v>902</v>
      </c>
      <c r="D70" s="8" t="s">
        <v>2</v>
      </c>
      <c r="E70" s="8" t="s">
        <v>7</v>
      </c>
      <c r="F70" s="5" t="s">
        <v>557</v>
      </c>
      <c r="G70" s="40" t="s">
        <v>557</v>
      </c>
      <c r="H70" s="5" t="s">
        <v>557</v>
      </c>
      <c r="I70" s="5" t="s">
        <v>557</v>
      </c>
      <c r="J70" s="40" t="s">
        <v>557</v>
      </c>
      <c r="K70" s="12">
        <f t="shared" ref="K70:L73" si="5">SUM(K71)</f>
        <v>13.8</v>
      </c>
      <c r="L70" s="12">
        <f t="shared" si="5"/>
        <v>7.6</v>
      </c>
      <c r="M70" s="12">
        <f t="shared" si="1"/>
        <v>55.072463768115931</v>
      </c>
      <c r="N70" s="9"/>
    </row>
    <row r="71" spans="1:14" s="28" customFormat="1" ht="31.5" x14ac:dyDescent="0.2">
      <c r="A71" s="72"/>
      <c r="B71" s="19" t="s">
        <v>85</v>
      </c>
      <c r="C71" s="62">
        <v>902</v>
      </c>
      <c r="D71" s="8" t="s">
        <v>2</v>
      </c>
      <c r="E71" s="8" t="s">
        <v>7</v>
      </c>
      <c r="F71" s="8">
        <v>52</v>
      </c>
      <c r="G71" s="40" t="s">
        <v>557</v>
      </c>
      <c r="H71" s="5" t="s">
        <v>557</v>
      </c>
      <c r="I71" s="5" t="s">
        <v>557</v>
      </c>
      <c r="J71" s="40" t="s">
        <v>557</v>
      </c>
      <c r="K71" s="12">
        <f t="shared" si="5"/>
        <v>13.8</v>
      </c>
      <c r="L71" s="12">
        <f t="shared" si="5"/>
        <v>7.6</v>
      </c>
      <c r="M71" s="12">
        <f t="shared" si="1"/>
        <v>55.072463768115931</v>
      </c>
      <c r="N71" s="9"/>
    </row>
    <row r="72" spans="1:14" s="28" customFormat="1" ht="31.5" x14ac:dyDescent="0.2">
      <c r="A72" s="72"/>
      <c r="B72" s="41" t="s">
        <v>61</v>
      </c>
      <c r="C72" s="62">
        <v>902</v>
      </c>
      <c r="D72" s="8" t="s">
        <v>2</v>
      </c>
      <c r="E72" s="8" t="s">
        <v>7</v>
      </c>
      <c r="F72" s="8" t="s">
        <v>104</v>
      </c>
      <c r="G72" s="8" t="s">
        <v>156</v>
      </c>
      <c r="H72" s="5" t="s">
        <v>557</v>
      </c>
      <c r="I72" s="5" t="s">
        <v>557</v>
      </c>
      <c r="J72" s="40" t="s">
        <v>557</v>
      </c>
      <c r="K72" s="12">
        <f t="shared" si="5"/>
        <v>13.8</v>
      </c>
      <c r="L72" s="12">
        <f t="shared" si="5"/>
        <v>7.6</v>
      </c>
      <c r="M72" s="12">
        <f t="shared" si="1"/>
        <v>55.072463768115931</v>
      </c>
      <c r="N72" s="9"/>
    </row>
    <row r="73" spans="1:14" s="28" customFormat="1" ht="63" x14ac:dyDescent="0.2">
      <c r="A73" s="72"/>
      <c r="B73" s="44" t="s">
        <v>288</v>
      </c>
      <c r="C73" s="62">
        <v>902</v>
      </c>
      <c r="D73" s="8" t="s">
        <v>2</v>
      </c>
      <c r="E73" s="8" t="s">
        <v>7</v>
      </c>
      <c r="F73" s="8" t="s">
        <v>104</v>
      </c>
      <c r="G73" s="8" t="s">
        <v>156</v>
      </c>
      <c r="H73" s="8" t="s">
        <v>97</v>
      </c>
      <c r="I73" s="8" t="s">
        <v>287</v>
      </c>
      <c r="J73" s="40" t="s">
        <v>557</v>
      </c>
      <c r="K73" s="12">
        <f t="shared" si="5"/>
        <v>13.8</v>
      </c>
      <c r="L73" s="12">
        <f t="shared" si="5"/>
        <v>7.6</v>
      </c>
      <c r="M73" s="12">
        <f t="shared" si="1"/>
        <v>55.072463768115931</v>
      </c>
      <c r="N73" s="9"/>
    </row>
    <row r="74" spans="1:14" s="28" customFormat="1" ht="31.5" x14ac:dyDescent="0.2">
      <c r="A74" s="72"/>
      <c r="B74" s="19" t="s">
        <v>164</v>
      </c>
      <c r="C74" s="62">
        <v>902</v>
      </c>
      <c r="D74" s="8" t="s">
        <v>2</v>
      </c>
      <c r="E74" s="8" t="s">
        <v>7</v>
      </c>
      <c r="F74" s="8" t="s">
        <v>104</v>
      </c>
      <c r="G74" s="8" t="s">
        <v>156</v>
      </c>
      <c r="H74" s="8" t="s">
        <v>97</v>
      </c>
      <c r="I74" s="8" t="s">
        <v>287</v>
      </c>
      <c r="J74" s="8" t="s">
        <v>57</v>
      </c>
      <c r="K74" s="12">
        <v>13.8</v>
      </c>
      <c r="L74" s="12">
        <v>7.6</v>
      </c>
      <c r="M74" s="12">
        <f t="shared" si="1"/>
        <v>55.072463768115931</v>
      </c>
      <c r="N74" s="9"/>
    </row>
    <row r="75" spans="1:14" s="28" customFormat="1" ht="19.5" customHeight="1" x14ac:dyDescent="0.2">
      <c r="A75" s="72"/>
      <c r="B75" s="19" t="s">
        <v>419</v>
      </c>
      <c r="C75" s="62">
        <v>902</v>
      </c>
      <c r="D75" s="8" t="s">
        <v>2</v>
      </c>
      <c r="E75" s="8" t="s">
        <v>8</v>
      </c>
      <c r="F75" s="5" t="s">
        <v>557</v>
      </c>
      <c r="G75" s="40" t="s">
        <v>557</v>
      </c>
      <c r="H75" s="5" t="s">
        <v>557</v>
      </c>
      <c r="I75" s="5" t="s">
        <v>557</v>
      </c>
      <c r="J75" s="40" t="s">
        <v>557</v>
      </c>
      <c r="K75" s="12">
        <f t="shared" ref="K75:L78" si="6">K76</f>
        <v>4171.3999999999996</v>
      </c>
      <c r="L75" s="12">
        <f t="shared" si="6"/>
        <v>4171.3999999999996</v>
      </c>
      <c r="M75" s="12">
        <f t="shared" si="1"/>
        <v>100</v>
      </c>
      <c r="N75" s="9"/>
    </row>
    <row r="76" spans="1:14" s="28" customFormat="1" ht="31.5" x14ac:dyDescent="0.2">
      <c r="A76" s="72"/>
      <c r="B76" s="19" t="s">
        <v>77</v>
      </c>
      <c r="C76" s="62">
        <v>902</v>
      </c>
      <c r="D76" s="8" t="s">
        <v>2</v>
      </c>
      <c r="E76" s="8" t="s">
        <v>8</v>
      </c>
      <c r="F76" s="8" t="s">
        <v>420</v>
      </c>
      <c r="G76" s="40" t="s">
        <v>557</v>
      </c>
      <c r="H76" s="5" t="s">
        <v>557</v>
      </c>
      <c r="I76" s="5" t="s">
        <v>557</v>
      </c>
      <c r="J76" s="40" t="s">
        <v>557</v>
      </c>
      <c r="K76" s="12">
        <f t="shared" si="6"/>
        <v>4171.3999999999996</v>
      </c>
      <c r="L76" s="12">
        <f t="shared" si="6"/>
        <v>4171.3999999999996</v>
      </c>
      <c r="M76" s="12">
        <f t="shared" si="1"/>
        <v>100</v>
      </c>
      <c r="N76" s="9"/>
    </row>
    <row r="77" spans="1:14" s="28" customFormat="1" ht="31.5" x14ac:dyDescent="0.2">
      <c r="A77" s="72"/>
      <c r="B77" s="19" t="s">
        <v>421</v>
      </c>
      <c r="C77" s="62">
        <v>902</v>
      </c>
      <c r="D77" s="8" t="s">
        <v>2</v>
      </c>
      <c r="E77" s="8" t="s">
        <v>8</v>
      </c>
      <c r="F77" s="8" t="s">
        <v>420</v>
      </c>
      <c r="G77" s="8" t="s">
        <v>156</v>
      </c>
      <c r="H77" s="5" t="s">
        <v>557</v>
      </c>
      <c r="I77" s="5" t="s">
        <v>557</v>
      </c>
      <c r="J77" s="40" t="s">
        <v>557</v>
      </c>
      <c r="K77" s="12">
        <f t="shared" si="6"/>
        <v>4171.3999999999996</v>
      </c>
      <c r="L77" s="12">
        <f t="shared" si="6"/>
        <v>4171.3999999999996</v>
      </c>
      <c r="M77" s="12">
        <f t="shared" si="1"/>
        <v>100</v>
      </c>
      <c r="N77" s="9"/>
    </row>
    <row r="78" spans="1:14" s="28" customFormat="1" ht="47.25" x14ac:dyDescent="0.2">
      <c r="A78" s="72"/>
      <c r="B78" s="19" t="s">
        <v>422</v>
      </c>
      <c r="C78" s="62">
        <v>902</v>
      </c>
      <c r="D78" s="8" t="s">
        <v>2</v>
      </c>
      <c r="E78" s="8" t="s">
        <v>8</v>
      </c>
      <c r="F78" s="8" t="s">
        <v>420</v>
      </c>
      <c r="G78" s="8" t="s">
        <v>156</v>
      </c>
      <c r="H78" s="8" t="s">
        <v>97</v>
      </c>
      <c r="I78" s="8" t="s">
        <v>423</v>
      </c>
      <c r="J78" s="40" t="s">
        <v>557</v>
      </c>
      <c r="K78" s="12">
        <f t="shared" si="6"/>
        <v>4171.3999999999996</v>
      </c>
      <c r="L78" s="12">
        <f t="shared" si="6"/>
        <v>4171.3999999999996</v>
      </c>
      <c r="M78" s="12">
        <f t="shared" ref="M78:M135" si="7">SUM(L78/K78*100)</f>
        <v>100</v>
      </c>
      <c r="N78" s="9"/>
    </row>
    <row r="79" spans="1:14" s="28" customFormat="1" x14ac:dyDescent="0.2">
      <c r="A79" s="72"/>
      <c r="B79" s="19" t="s">
        <v>59</v>
      </c>
      <c r="C79" s="62">
        <v>902</v>
      </c>
      <c r="D79" s="8" t="s">
        <v>2</v>
      </c>
      <c r="E79" s="8" t="s">
        <v>8</v>
      </c>
      <c r="F79" s="8" t="s">
        <v>420</v>
      </c>
      <c r="G79" s="8" t="s">
        <v>156</v>
      </c>
      <c r="H79" s="8" t="s">
        <v>97</v>
      </c>
      <c r="I79" s="8" t="s">
        <v>423</v>
      </c>
      <c r="J79" s="8" t="s">
        <v>60</v>
      </c>
      <c r="K79" s="12">
        <v>4171.3999999999996</v>
      </c>
      <c r="L79" s="12">
        <v>4171.3999999999996</v>
      </c>
      <c r="M79" s="12">
        <f t="shared" si="7"/>
        <v>100</v>
      </c>
      <c r="N79" s="9"/>
    </row>
    <row r="80" spans="1:14" s="28" customFormat="1" x14ac:dyDescent="0.2">
      <c r="A80" s="72"/>
      <c r="B80" s="19" t="s">
        <v>9</v>
      </c>
      <c r="C80" s="62">
        <v>902</v>
      </c>
      <c r="D80" s="8" t="s">
        <v>2</v>
      </c>
      <c r="E80" s="8" t="s">
        <v>41</v>
      </c>
      <c r="F80" s="5" t="s">
        <v>557</v>
      </c>
      <c r="G80" s="40" t="s">
        <v>557</v>
      </c>
      <c r="H80" s="5" t="s">
        <v>557</v>
      </c>
      <c r="I80" s="5" t="s">
        <v>557</v>
      </c>
      <c r="J80" s="40" t="s">
        <v>557</v>
      </c>
      <c r="K80" s="12">
        <f>SUM(K81+K86+K123+K137+K99+K113+K128+K145+K108+K118)</f>
        <v>247858.9</v>
      </c>
      <c r="L80" s="12">
        <f>SUM(L81+L86+L123+L137+L99+L113+L128+L145+L108+L118)</f>
        <v>244631.6</v>
      </c>
      <c r="M80" s="12">
        <f t="shared" si="7"/>
        <v>98.697928539180964</v>
      </c>
      <c r="N80" s="9"/>
    </row>
    <row r="81" spans="1:14" s="28" customFormat="1" ht="31.5" x14ac:dyDescent="0.2">
      <c r="A81" s="72"/>
      <c r="B81" s="19" t="s">
        <v>251</v>
      </c>
      <c r="C81" s="62">
        <v>902</v>
      </c>
      <c r="D81" s="8" t="s">
        <v>2</v>
      </c>
      <c r="E81" s="8" t="s">
        <v>41</v>
      </c>
      <c r="F81" s="8" t="s">
        <v>4</v>
      </c>
      <c r="G81" s="40" t="s">
        <v>557</v>
      </c>
      <c r="H81" s="5" t="s">
        <v>557</v>
      </c>
      <c r="I81" s="5" t="s">
        <v>557</v>
      </c>
      <c r="J81" s="40" t="s">
        <v>557</v>
      </c>
      <c r="K81" s="12">
        <f t="shared" ref="K81:L84" si="8">K82</f>
        <v>350.2</v>
      </c>
      <c r="L81" s="12">
        <f t="shared" si="8"/>
        <v>350.2</v>
      </c>
      <c r="M81" s="12">
        <f t="shared" si="7"/>
        <v>100</v>
      </c>
      <c r="N81" s="9"/>
    </row>
    <row r="82" spans="1:14" s="28" customFormat="1" ht="31.5" x14ac:dyDescent="0.2">
      <c r="A82" s="72"/>
      <c r="B82" s="19" t="s">
        <v>136</v>
      </c>
      <c r="C82" s="62">
        <v>902</v>
      </c>
      <c r="D82" s="8" t="s">
        <v>2</v>
      </c>
      <c r="E82" s="8" t="s">
        <v>41</v>
      </c>
      <c r="F82" s="8" t="s">
        <v>4</v>
      </c>
      <c r="G82" s="63">
        <v>1</v>
      </c>
      <c r="H82" s="5" t="s">
        <v>557</v>
      </c>
      <c r="I82" s="5" t="s">
        <v>557</v>
      </c>
      <c r="J82" s="40" t="s">
        <v>557</v>
      </c>
      <c r="K82" s="12">
        <f t="shared" si="8"/>
        <v>350.2</v>
      </c>
      <c r="L82" s="12">
        <f t="shared" si="8"/>
        <v>350.2</v>
      </c>
      <c r="M82" s="12">
        <f t="shared" si="7"/>
        <v>100</v>
      </c>
      <c r="N82" s="9"/>
    </row>
    <row r="83" spans="1:14" s="28" customFormat="1" ht="78.75" x14ac:dyDescent="0.2">
      <c r="A83" s="72"/>
      <c r="B83" s="41" t="s">
        <v>137</v>
      </c>
      <c r="C83" s="62">
        <v>902</v>
      </c>
      <c r="D83" s="8" t="s">
        <v>2</v>
      </c>
      <c r="E83" s="8" t="s">
        <v>41</v>
      </c>
      <c r="F83" s="8" t="s">
        <v>4</v>
      </c>
      <c r="G83" s="63">
        <v>1</v>
      </c>
      <c r="H83" s="8" t="s">
        <v>2</v>
      </c>
      <c r="I83" s="5" t="s">
        <v>557</v>
      </c>
      <c r="J83" s="40" t="s">
        <v>557</v>
      </c>
      <c r="K83" s="12">
        <f t="shared" si="8"/>
        <v>350.2</v>
      </c>
      <c r="L83" s="12">
        <f t="shared" si="8"/>
        <v>350.2</v>
      </c>
      <c r="M83" s="12">
        <f t="shared" si="7"/>
        <v>100</v>
      </c>
      <c r="N83" s="9"/>
    </row>
    <row r="84" spans="1:14" s="28" customFormat="1" ht="47.25" x14ac:dyDescent="0.2">
      <c r="A84" s="72"/>
      <c r="B84" s="41" t="s">
        <v>351</v>
      </c>
      <c r="C84" s="62">
        <v>902</v>
      </c>
      <c r="D84" s="8" t="s">
        <v>2</v>
      </c>
      <c r="E84" s="8" t="s">
        <v>41</v>
      </c>
      <c r="F84" s="8" t="s">
        <v>4</v>
      </c>
      <c r="G84" s="63">
        <v>1</v>
      </c>
      <c r="H84" s="8" t="s">
        <v>2</v>
      </c>
      <c r="I84" s="8" t="s">
        <v>313</v>
      </c>
      <c r="J84" s="40" t="s">
        <v>557</v>
      </c>
      <c r="K84" s="12">
        <f t="shared" si="8"/>
        <v>350.2</v>
      </c>
      <c r="L84" s="12">
        <f t="shared" si="8"/>
        <v>350.2</v>
      </c>
      <c r="M84" s="12">
        <f t="shared" si="7"/>
        <v>100</v>
      </c>
      <c r="N84" s="9"/>
    </row>
    <row r="85" spans="1:14" s="28" customFormat="1" ht="31.5" x14ac:dyDescent="0.2">
      <c r="A85" s="72"/>
      <c r="B85" s="41" t="s">
        <v>164</v>
      </c>
      <c r="C85" s="62">
        <v>902</v>
      </c>
      <c r="D85" s="8" t="s">
        <v>2</v>
      </c>
      <c r="E85" s="8" t="s">
        <v>41</v>
      </c>
      <c r="F85" s="8" t="s">
        <v>4</v>
      </c>
      <c r="G85" s="63">
        <v>1</v>
      </c>
      <c r="H85" s="8" t="s">
        <v>2</v>
      </c>
      <c r="I85" s="8" t="s">
        <v>313</v>
      </c>
      <c r="J85" s="8" t="s">
        <v>57</v>
      </c>
      <c r="K85" s="12">
        <f>256.9+93.3</f>
        <v>350.2</v>
      </c>
      <c r="L85" s="12">
        <f>256.9+93.3</f>
        <v>350.2</v>
      </c>
      <c r="M85" s="12">
        <f t="shared" si="7"/>
        <v>100</v>
      </c>
      <c r="N85" s="9"/>
    </row>
    <row r="86" spans="1:14" s="28" customFormat="1" ht="49.5" customHeight="1" x14ac:dyDescent="0.2">
      <c r="A86" s="72"/>
      <c r="B86" s="19" t="s">
        <v>231</v>
      </c>
      <c r="C86" s="62">
        <v>902</v>
      </c>
      <c r="D86" s="8" t="s">
        <v>2</v>
      </c>
      <c r="E86" s="8" t="s">
        <v>41</v>
      </c>
      <c r="F86" s="8" t="s">
        <v>8</v>
      </c>
      <c r="G86" s="40" t="s">
        <v>557</v>
      </c>
      <c r="H86" s="5" t="s">
        <v>557</v>
      </c>
      <c r="I86" s="5" t="s">
        <v>557</v>
      </c>
      <c r="J86" s="40" t="s">
        <v>557</v>
      </c>
      <c r="K86" s="12">
        <f t="shared" ref="K86:L86" si="9">SUM(K87)</f>
        <v>116804.2</v>
      </c>
      <c r="L86" s="12">
        <f t="shared" si="9"/>
        <v>113621.7</v>
      </c>
      <c r="M86" s="12">
        <f t="shared" si="7"/>
        <v>97.275354824569661</v>
      </c>
      <c r="N86" s="9"/>
    </row>
    <row r="87" spans="1:14" s="28" customFormat="1" ht="63" x14ac:dyDescent="0.2">
      <c r="A87" s="72"/>
      <c r="B87" s="19" t="s">
        <v>232</v>
      </c>
      <c r="C87" s="62">
        <v>902</v>
      </c>
      <c r="D87" s="8" t="s">
        <v>2</v>
      </c>
      <c r="E87" s="8" t="s">
        <v>41</v>
      </c>
      <c r="F87" s="8" t="s">
        <v>8</v>
      </c>
      <c r="G87" s="63">
        <v>1</v>
      </c>
      <c r="H87" s="5" t="s">
        <v>557</v>
      </c>
      <c r="I87" s="5" t="s">
        <v>557</v>
      </c>
      <c r="J87" s="40" t="s">
        <v>557</v>
      </c>
      <c r="K87" s="12">
        <f>K88+K94</f>
        <v>116804.2</v>
      </c>
      <c r="L87" s="12">
        <f>L88+L94</f>
        <v>113621.7</v>
      </c>
      <c r="M87" s="12">
        <f t="shared" si="7"/>
        <v>97.275354824569661</v>
      </c>
      <c r="N87" s="9"/>
    </row>
    <row r="88" spans="1:14" s="28" customFormat="1" x14ac:dyDescent="0.2">
      <c r="A88" s="72"/>
      <c r="B88" s="19" t="s">
        <v>110</v>
      </c>
      <c r="C88" s="62">
        <v>902</v>
      </c>
      <c r="D88" s="8" t="s">
        <v>2</v>
      </c>
      <c r="E88" s="8" t="s">
        <v>41</v>
      </c>
      <c r="F88" s="8" t="s">
        <v>8</v>
      </c>
      <c r="G88" s="63">
        <v>1</v>
      </c>
      <c r="H88" s="8" t="s">
        <v>2</v>
      </c>
      <c r="I88" s="5" t="s">
        <v>557</v>
      </c>
      <c r="J88" s="40" t="s">
        <v>557</v>
      </c>
      <c r="K88" s="12">
        <f>SUM(K89)</f>
        <v>114668.4</v>
      </c>
      <c r="L88" s="12">
        <f>SUM(L89)</f>
        <v>111490.9</v>
      </c>
      <c r="M88" s="12">
        <f t="shared" si="7"/>
        <v>97.228966306323272</v>
      </c>
      <c r="N88" s="9"/>
    </row>
    <row r="89" spans="1:14" s="28" customFormat="1" ht="63.75" customHeight="1" x14ac:dyDescent="0.2">
      <c r="A89" s="72"/>
      <c r="B89" s="19" t="s">
        <v>84</v>
      </c>
      <c r="C89" s="62">
        <v>902</v>
      </c>
      <c r="D89" s="8" t="s">
        <v>2</v>
      </c>
      <c r="E89" s="8" t="s">
        <v>41</v>
      </c>
      <c r="F89" s="8" t="s">
        <v>8</v>
      </c>
      <c r="G89" s="63">
        <v>1</v>
      </c>
      <c r="H89" s="8" t="s">
        <v>2</v>
      </c>
      <c r="I89" s="8" t="s">
        <v>111</v>
      </c>
      <c r="J89" s="40" t="s">
        <v>557</v>
      </c>
      <c r="K89" s="12">
        <f>SUM(K90:K93)</f>
        <v>114668.4</v>
      </c>
      <c r="L89" s="12">
        <f>SUM(L90:L93)</f>
        <v>111490.9</v>
      </c>
      <c r="M89" s="12">
        <f t="shared" si="7"/>
        <v>97.228966306323272</v>
      </c>
      <c r="N89" s="9"/>
    </row>
    <row r="90" spans="1:14" s="28" customFormat="1" ht="45.75" customHeight="1" x14ac:dyDescent="0.2">
      <c r="A90" s="72"/>
      <c r="B90" s="19" t="s">
        <v>54</v>
      </c>
      <c r="C90" s="62">
        <v>902</v>
      </c>
      <c r="D90" s="8" t="s">
        <v>2</v>
      </c>
      <c r="E90" s="8" t="s">
        <v>41</v>
      </c>
      <c r="F90" s="8" t="s">
        <v>8</v>
      </c>
      <c r="G90" s="63">
        <v>1</v>
      </c>
      <c r="H90" s="8" t="s">
        <v>2</v>
      </c>
      <c r="I90" s="8" t="s">
        <v>111</v>
      </c>
      <c r="J90" s="8" t="s">
        <v>55</v>
      </c>
      <c r="K90" s="12">
        <f>49098.4+617.7+6692.5+244.6-0.1+9003.8</f>
        <v>65656.899999999994</v>
      </c>
      <c r="L90" s="12">
        <v>65617.3</v>
      </c>
      <c r="M90" s="12">
        <f t="shared" si="7"/>
        <v>99.939686460981264</v>
      </c>
      <c r="N90" s="9"/>
    </row>
    <row r="91" spans="1:14" s="28" customFormat="1" ht="31.5" x14ac:dyDescent="0.2">
      <c r="A91" s="72"/>
      <c r="B91" s="19" t="s">
        <v>164</v>
      </c>
      <c r="C91" s="62">
        <v>902</v>
      </c>
      <c r="D91" s="8" t="s">
        <v>2</v>
      </c>
      <c r="E91" s="8" t="s">
        <v>41</v>
      </c>
      <c r="F91" s="8" t="s">
        <v>8</v>
      </c>
      <c r="G91" s="63">
        <v>1</v>
      </c>
      <c r="H91" s="8" t="s">
        <v>2</v>
      </c>
      <c r="I91" s="8" t="s">
        <v>111</v>
      </c>
      <c r="J91" s="8" t="s">
        <v>57</v>
      </c>
      <c r="K91" s="12">
        <f>40567.6+5.8+1.3+163.3+919.1+291.4+143.7+102.4+3500-8250.6</f>
        <v>37444.000000000007</v>
      </c>
      <c r="L91" s="12">
        <v>34306.1</v>
      </c>
      <c r="M91" s="12">
        <f t="shared" si="7"/>
        <v>91.619752163230402</v>
      </c>
      <c r="N91" s="9"/>
    </row>
    <row r="92" spans="1:14" s="28" customFormat="1" ht="31.5" customHeight="1" x14ac:dyDescent="0.2">
      <c r="A92" s="72"/>
      <c r="B92" s="19" t="s">
        <v>72</v>
      </c>
      <c r="C92" s="62">
        <v>902</v>
      </c>
      <c r="D92" s="8" t="s">
        <v>2</v>
      </c>
      <c r="E92" s="8" t="s">
        <v>41</v>
      </c>
      <c r="F92" s="8" t="s">
        <v>8</v>
      </c>
      <c r="G92" s="63">
        <v>1</v>
      </c>
      <c r="H92" s="8" t="s">
        <v>2</v>
      </c>
      <c r="I92" s="8" t="s">
        <v>111</v>
      </c>
      <c r="J92" s="8" t="s">
        <v>73</v>
      </c>
      <c r="K92" s="12">
        <v>10742.1</v>
      </c>
      <c r="L92" s="12">
        <v>10742.1</v>
      </c>
      <c r="M92" s="12">
        <f t="shared" si="7"/>
        <v>100</v>
      </c>
      <c r="N92" s="9"/>
    </row>
    <row r="93" spans="1:14" s="28" customFormat="1" x14ac:dyDescent="0.2">
      <c r="A93" s="72"/>
      <c r="B93" s="19" t="s">
        <v>59</v>
      </c>
      <c r="C93" s="62">
        <v>902</v>
      </c>
      <c r="D93" s="8" t="s">
        <v>2</v>
      </c>
      <c r="E93" s="8" t="s">
        <v>41</v>
      </c>
      <c r="F93" s="8" t="s">
        <v>8</v>
      </c>
      <c r="G93" s="63">
        <v>1</v>
      </c>
      <c r="H93" s="8" t="s">
        <v>2</v>
      </c>
      <c r="I93" s="8" t="s">
        <v>111</v>
      </c>
      <c r="J93" s="8" t="s">
        <v>60</v>
      </c>
      <c r="K93" s="12">
        <f>958.6-133.2</f>
        <v>825.40000000000009</v>
      </c>
      <c r="L93" s="12">
        <f>958.6-133.2</f>
        <v>825.40000000000009</v>
      </c>
      <c r="M93" s="12">
        <f t="shared" si="7"/>
        <v>100</v>
      </c>
      <c r="N93" s="9"/>
    </row>
    <row r="94" spans="1:14" s="28" customFormat="1" ht="33.75" customHeight="1" x14ac:dyDescent="0.2">
      <c r="A94" s="72"/>
      <c r="B94" s="19" t="s">
        <v>117</v>
      </c>
      <c r="C94" s="62">
        <v>902</v>
      </c>
      <c r="D94" s="8" t="s">
        <v>2</v>
      </c>
      <c r="E94" s="8" t="s">
        <v>41</v>
      </c>
      <c r="F94" s="8" t="s">
        <v>8</v>
      </c>
      <c r="G94" s="63">
        <v>1</v>
      </c>
      <c r="H94" s="8" t="s">
        <v>4</v>
      </c>
      <c r="I94" s="5" t="s">
        <v>557</v>
      </c>
      <c r="J94" s="40" t="s">
        <v>557</v>
      </c>
      <c r="K94" s="12">
        <f>K95+K97</f>
        <v>2135.8000000000002</v>
      </c>
      <c r="L94" s="12">
        <f>L95+L97</f>
        <v>2130.8000000000002</v>
      </c>
      <c r="M94" s="12">
        <f t="shared" si="7"/>
        <v>99.765895683116398</v>
      </c>
      <c r="N94" s="9"/>
    </row>
    <row r="95" spans="1:14" s="28" customFormat="1" ht="31.5" x14ac:dyDescent="0.2">
      <c r="A95" s="72"/>
      <c r="B95" s="19" t="s">
        <v>374</v>
      </c>
      <c r="C95" s="62">
        <v>902</v>
      </c>
      <c r="D95" s="8" t="s">
        <v>2</v>
      </c>
      <c r="E95" s="8" t="s">
        <v>41</v>
      </c>
      <c r="F95" s="8" t="s">
        <v>8</v>
      </c>
      <c r="G95" s="63">
        <v>1</v>
      </c>
      <c r="H95" s="8" t="s">
        <v>4</v>
      </c>
      <c r="I95" s="8" t="s">
        <v>373</v>
      </c>
      <c r="J95" s="40" t="s">
        <v>557</v>
      </c>
      <c r="K95" s="12">
        <f>K96</f>
        <v>231.6</v>
      </c>
      <c r="L95" s="12">
        <f>L96</f>
        <v>226.6</v>
      </c>
      <c r="M95" s="12">
        <f t="shared" si="7"/>
        <v>97.841105354058726</v>
      </c>
      <c r="N95" s="9"/>
    </row>
    <row r="96" spans="1:14" s="28" customFormat="1" ht="31.5" x14ac:dyDescent="0.2">
      <c r="A96" s="72"/>
      <c r="B96" s="19" t="s">
        <v>164</v>
      </c>
      <c r="C96" s="62">
        <v>902</v>
      </c>
      <c r="D96" s="8" t="s">
        <v>2</v>
      </c>
      <c r="E96" s="8" t="s">
        <v>41</v>
      </c>
      <c r="F96" s="8" t="s">
        <v>8</v>
      </c>
      <c r="G96" s="63">
        <v>1</v>
      </c>
      <c r="H96" s="8" t="s">
        <v>4</v>
      </c>
      <c r="I96" s="8" t="s">
        <v>373</v>
      </c>
      <c r="J96" s="8" t="s">
        <v>57</v>
      </c>
      <c r="K96" s="12">
        <v>231.6</v>
      </c>
      <c r="L96" s="12">
        <v>226.6</v>
      </c>
      <c r="M96" s="12">
        <f t="shared" si="7"/>
        <v>97.841105354058726</v>
      </c>
      <c r="N96" s="9"/>
    </row>
    <row r="97" spans="1:14" s="28" customFormat="1" ht="47.25" x14ac:dyDescent="0.2">
      <c r="A97" s="72"/>
      <c r="B97" s="19" t="s">
        <v>378</v>
      </c>
      <c r="C97" s="62">
        <v>902</v>
      </c>
      <c r="D97" s="8" t="s">
        <v>2</v>
      </c>
      <c r="E97" s="8" t="s">
        <v>41</v>
      </c>
      <c r="F97" s="8" t="s">
        <v>8</v>
      </c>
      <c r="G97" s="63">
        <v>1</v>
      </c>
      <c r="H97" s="8" t="s">
        <v>4</v>
      </c>
      <c r="I97" s="8" t="s">
        <v>379</v>
      </c>
      <c r="J97" s="40" t="s">
        <v>557</v>
      </c>
      <c r="K97" s="12">
        <f>SUM(K98)</f>
        <v>1904.2</v>
      </c>
      <c r="L97" s="12">
        <f>SUM(L98)</f>
        <v>1904.2</v>
      </c>
      <c r="M97" s="12">
        <f t="shared" si="7"/>
        <v>100</v>
      </c>
      <c r="N97" s="9"/>
    </row>
    <row r="98" spans="1:14" s="28" customFormat="1" ht="31.5" x14ac:dyDescent="0.2">
      <c r="A98" s="72"/>
      <c r="B98" s="19" t="s">
        <v>164</v>
      </c>
      <c r="C98" s="62">
        <v>902</v>
      </c>
      <c r="D98" s="8" t="s">
        <v>2</v>
      </c>
      <c r="E98" s="8" t="s">
        <v>41</v>
      </c>
      <c r="F98" s="8" t="s">
        <v>8</v>
      </c>
      <c r="G98" s="63">
        <v>1</v>
      </c>
      <c r="H98" s="8" t="s">
        <v>4</v>
      </c>
      <c r="I98" s="8" t="s">
        <v>379</v>
      </c>
      <c r="J98" s="8" t="s">
        <v>57</v>
      </c>
      <c r="K98" s="12">
        <v>1904.2</v>
      </c>
      <c r="L98" s="12">
        <v>1904.2</v>
      </c>
      <c r="M98" s="12">
        <f t="shared" si="7"/>
        <v>100</v>
      </c>
      <c r="N98" s="9"/>
    </row>
    <row r="99" spans="1:14" s="28" customFormat="1" ht="47.25" x14ac:dyDescent="0.2">
      <c r="A99" s="72"/>
      <c r="B99" s="19" t="s">
        <v>233</v>
      </c>
      <c r="C99" s="62">
        <v>902</v>
      </c>
      <c r="D99" s="8" t="s">
        <v>2</v>
      </c>
      <c r="E99" s="8" t="s">
        <v>41</v>
      </c>
      <c r="F99" s="8" t="s">
        <v>88</v>
      </c>
      <c r="G99" s="40" t="s">
        <v>557</v>
      </c>
      <c r="H99" s="5" t="s">
        <v>557</v>
      </c>
      <c r="I99" s="5" t="s">
        <v>557</v>
      </c>
      <c r="J99" s="40" t="s">
        <v>557</v>
      </c>
      <c r="K99" s="12">
        <f>K100+K104</f>
        <v>12406.5</v>
      </c>
      <c r="L99" s="12">
        <f>L100+L104</f>
        <v>12406.5</v>
      </c>
      <c r="M99" s="12">
        <f t="shared" si="7"/>
        <v>100</v>
      </c>
      <c r="N99" s="9"/>
    </row>
    <row r="100" spans="1:14" s="28" customFormat="1" ht="48.75" customHeight="1" x14ac:dyDescent="0.2">
      <c r="A100" s="72"/>
      <c r="B100" s="19" t="s">
        <v>212</v>
      </c>
      <c r="C100" s="62">
        <v>902</v>
      </c>
      <c r="D100" s="8" t="s">
        <v>2</v>
      </c>
      <c r="E100" s="8" t="s">
        <v>41</v>
      </c>
      <c r="F100" s="8" t="s">
        <v>88</v>
      </c>
      <c r="G100" s="63">
        <v>2</v>
      </c>
      <c r="H100" s="5" t="s">
        <v>557</v>
      </c>
      <c r="I100" s="5" t="s">
        <v>557</v>
      </c>
      <c r="J100" s="40" t="s">
        <v>557</v>
      </c>
      <c r="K100" s="12">
        <f>K101</f>
        <v>3598.5</v>
      </c>
      <c r="L100" s="12">
        <f>L101</f>
        <v>3598.5</v>
      </c>
      <c r="M100" s="12">
        <f t="shared" si="7"/>
        <v>100</v>
      </c>
      <c r="N100" s="9"/>
    </row>
    <row r="101" spans="1:14" s="28" customFormat="1" ht="94.5" x14ac:dyDescent="0.2">
      <c r="A101" s="72"/>
      <c r="B101" s="19" t="s">
        <v>234</v>
      </c>
      <c r="C101" s="62">
        <v>902</v>
      </c>
      <c r="D101" s="8" t="s">
        <v>2</v>
      </c>
      <c r="E101" s="8" t="s">
        <v>41</v>
      </c>
      <c r="F101" s="8" t="s">
        <v>88</v>
      </c>
      <c r="G101" s="63">
        <v>2</v>
      </c>
      <c r="H101" s="8" t="s">
        <v>2</v>
      </c>
      <c r="I101" s="8" t="s">
        <v>214</v>
      </c>
      <c r="J101" s="40" t="s">
        <v>557</v>
      </c>
      <c r="K101" s="12">
        <f>SUM(K102+K103)</f>
        <v>3598.5</v>
      </c>
      <c r="L101" s="12">
        <f>SUM(L102+L103)</f>
        <v>3598.5</v>
      </c>
      <c r="M101" s="12">
        <f t="shared" si="7"/>
        <v>100</v>
      </c>
      <c r="N101" s="9"/>
    </row>
    <row r="102" spans="1:14" s="28" customFormat="1" ht="31.5" x14ac:dyDescent="0.2">
      <c r="A102" s="72"/>
      <c r="B102" s="19" t="s">
        <v>164</v>
      </c>
      <c r="C102" s="62">
        <v>902</v>
      </c>
      <c r="D102" s="8" t="s">
        <v>2</v>
      </c>
      <c r="E102" s="8" t="s">
        <v>41</v>
      </c>
      <c r="F102" s="8" t="s">
        <v>88</v>
      </c>
      <c r="G102" s="63">
        <v>2</v>
      </c>
      <c r="H102" s="8" t="s">
        <v>2</v>
      </c>
      <c r="I102" s="8" t="s">
        <v>214</v>
      </c>
      <c r="J102" s="8" t="s">
        <v>57</v>
      </c>
      <c r="K102" s="12">
        <v>3587</v>
      </c>
      <c r="L102" s="12">
        <v>3587</v>
      </c>
      <c r="M102" s="12">
        <f t="shared" si="7"/>
        <v>100</v>
      </c>
      <c r="N102" s="9"/>
    </row>
    <row r="103" spans="1:14" s="28" customFormat="1" ht="17.25" customHeight="1" x14ac:dyDescent="0.2">
      <c r="A103" s="72"/>
      <c r="B103" s="19" t="s">
        <v>65</v>
      </c>
      <c r="C103" s="62">
        <v>902</v>
      </c>
      <c r="D103" s="8" t="s">
        <v>2</v>
      </c>
      <c r="E103" s="8" t="s">
        <v>41</v>
      </c>
      <c r="F103" s="8" t="s">
        <v>88</v>
      </c>
      <c r="G103" s="63">
        <v>2</v>
      </c>
      <c r="H103" s="8" t="s">
        <v>2</v>
      </c>
      <c r="I103" s="8" t="s">
        <v>214</v>
      </c>
      <c r="J103" s="8" t="s">
        <v>66</v>
      </c>
      <c r="K103" s="12">
        <v>11.5</v>
      </c>
      <c r="L103" s="12">
        <v>11.5</v>
      </c>
      <c r="M103" s="12">
        <f t="shared" si="7"/>
        <v>100</v>
      </c>
      <c r="N103" s="9"/>
    </row>
    <row r="104" spans="1:14" s="28" customFormat="1" ht="80.25" customHeight="1" x14ac:dyDescent="0.2">
      <c r="A104" s="72"/>
      <c r="B104" s="19" t="s">
        <v>305</v>
      </c>
      <c r="C104" s="62">
        <v>902</v>
      </c>
      <c r="D104" s="8" t="s">
        <v>2</v>
      </c>
      <c r="E104" s="8" t="s">
        <v>41</v>
      </c>
      <c r="F104" s="8" t="s">
        <v>88</v>
      </c>
      <c r="G104" s="8" t="s">
        <v>177</v>
      </c>
      <c r="H104" s="5" t="s">
        <v>557</v>
      </c>
      <c r="I104" s="5" t="s">
        <v>557</v>
      </c>
      <c r="J104" s="40" t="s">
        <v>557</v>
      </c>
      <c r="K104" s="12">
        <f>SUM(K105)</f>
        <v>8808</v>
      </c>
      <c r="L104" s="12">
        <f>SUM(L105)</f>
        <v>8808</v>
      </c>
      <c r="M104" s="12">
        <f t="shared" si="7"/>
        <v>100</v>
      </c>
      <c r="N104" s="9"/>
    </row>
    <row r="105" spans="1:14" s="28" customFormat="1" ht="49.5" customHeight="1" x14ac:dyDescent="0.2">
      <c r="A105" s="72"/>
      <c r="B105" s="19" t="s">
        <v>306</v>
      </c>
      <c r="C105" s="62">
        <v>902</v>
      </c>
      <c r="D105" s="8" t="s">
        <v>2</v>
      </c>
      <c r="E105" s="8" t="s">
        <v>41</v>
      </c>
      <c r="F105" s="8" t="s">
        <v>88</v>
      </c>
      <c r="G105" s="8" t="s">
        <v>177</v>
      </c>
      <c r="H105" s="8" t="s">
        <v>2</v>
      </c>
      <c r="I105" s="5" t="s">
        <v>557</v>
      </c>
      <c r="J105" s="40" t="s">
        <v>557</v>
      </c>
      <c r="K105" s="12">
        <f>SUM(K106)</f>
        <v>8808</v>
      </c>
      <c r="L105" s="12">
        <f>SUM(L106)</f>
        <v>8808</v>
      </c>
      <c r="M105" s="12">
        <f t="shared" si="7"/>
        <v>100</v>
      </c>
      <c r="N105" s="9"/>
    </row>
    <row r="106" spans="1:14" s="28" customFormat="1" ht="126" customHeight="1" x14ac:dyDescent="0.2">
      <c r="A106" s="72"/>
      <c r="B106" s="19" t="s">
        <v>367</v>
      </c>
      <c r="C106" s="62">
        <v>902</v>
      </c>
      <c r="D106" s="8" t="s">
        <v>2</v>
      </c>
      <c r="E106" s="8" t="s">
        <v>41</v>
      </c>
      <c r="F106" s="8" t="s">
        <v>88</v>
      </c>
      <c r="G106" s="8" t="s">
        <v>177</v>
      </c>
      <c r="H106" s="8" t="s">
        <v>2</v>
      </c>
      <c r="I106" s="8" t="s">
        <v>307</v>
      </c>
      <c r="J106" s="40" t="s">
        <v>557</v>
      </c>
      <c r="K106" s="12">
        <f>K107</f>
        <v>8808</v>
      </c>
      <c r="L106" s="12">
        <f>L107</f>
        <v>8808</v>
      </c>
      <c r="M106" s="12">
        <f t="shared" si="7"/>
        <v>100</v>
      </c>
      <c r="N106" s="9"/>
    </row>
    <row r="107" spans="1:14" s="28" customFormat="1" ht="33.75" customHeight="1" x14ac:dyDescent="0.2">
      <c r="A107" s="72"/>
      <c r="B107" s="44" t="s">
        <v>72</v>
      </c>
      <c r="C107" s="62">
        <v>902</v>
      </c>
      <c r="D107" s="8" t="s">
        <v>2</v>
      </c>
      <c r="E107" s="8" t="s">
        <v>41</v>
      </c>
      <c r="F107" s="8" t="s">
        <v>88</v>
      </c>
      <c r="G107" s="8" t="s">
        <v>177</v>
      </c>
      <c r="H107" s="8" t="s">
        <v>2</v>
      </c>
      <c r="I107" s="8" t="s">
        <v>307</v>
      </c>
      <c r="J107" s="8" t="s">
        <v>73</v>
      </c>
      <c r="K107" s="12">
        <f>8713+300-205</f>
        <v>8808</v>
      </c>
      <c r="L107" s="12">
        <f>8713+300-205</f>
        <v>8808</v>
      </c>
      <c r="M107" s="12">
        <f t="shared" si="7"/>
        <v>100</v>
      </c>
      <c r="N107" s="9"/>
    </row>
    <row r="108" spans="1:14" s="28" customFormat="1" ht="47.25" x14ac:dyDescent="0.2">
      <c r="A108" s="72"/>
      <c r="B108" s="41" t="s">
        <v>318</v>
      </c>
      <c r="C108" s="62">
        <v>902</v>
      </c>
      <c r="D108" s="8" t="s">
        <v>2</v>
      </c>
      <c r="E108" s="8" t="s">
        <v>41</v>
      </c>
      <c r="F108" s="8" t="s">
        <v>41</v>
      </c>
      <c r="G108" s="40" t="s">
        <v>557</v>
      </c>
      <c r="H108" s="5" t="s">
        <v>557</v>
      </c>
      <c r="I108" s="5" t="s">
        <v>557</v>
      </c>
      <c r="J108" s="40" t="s">
        <v>557</v>
      </c>
      <c r="K108" s="12">
        <f t="shared" ref="K108:L111" si="10">K109</f>
        <v>481.2</v>
      </c>
      <c r="L108" s="12">
        <f t="shared" si="10"/>
        <v>481.2</v>
      </c>
      <c r="M108" s="12">
        <f t="shared" si="7"/>
        <v>100</v>
      </c>
      <c r="N108" s="9"/>
    </row>
    <row r="109" spans="1:14" s="28" customFormat="1" ht="31.5" x14ac:dyDescent="0.2">
      <c r="A109" s="72"/>
      <c r="B109" s="41" t="s">
        <v>253</v>
      </c>
      <c r="C109" s="62">
        <v>902</v>
      </c>
      <c r="D109" s="8" t="s">
        <v>2</v>
      </c>
      <c r="E109" s="8" t="s">
        <v>41</v>
      </c>
      <c r="F109" s="8" t="s">
        <v>41</v>
      </c>
      <c r="G109" s="8" t="s">
        <v>156</v>
      </c>
      <c r="H109" s="5" t="s">
        <v>557</v>
      </c>
      <c r="I109" s="5" t="s">
        <v>557</v>
      </c>
      <c r="J109" s="40" t="s">
        <v>557</v>
      </c>
      <c r="K109" s="12">
        <f t="shared" si="10"/>
        <v>481.2</v>
      </c>
      <c r="L109" s="12">
        <f t="shared" si="10"/>
        <v>481.2</v>
      </c>
      <c r="M109" s="12">
        <f t="shared" si="7"/>
        <v>100</v>
      </c>
      <c r="N109" s="9"/>
    </row>
    <row r="110" spans="1:14" s="28" customFormat="1" ht="31.5" x14ac:dyDescent="0.2">
      <c r="A110" s="72"/>
      <c r="B110" s="19" t="s">
        <v>317</v>
      </c>
      <c r="C110" s="62">
        <v>902</v>
      </c>
      <c r="D110" s="8" t="s">
        <v>2</v>
      </c>
      <c r="E110" s="8" t="s">
        <v>41</v>
      </c>
      <c r="F110" s="8" t="s">
        <v>41</v>
      </c>
      <c r="G110" s="8" t="s">
        <v>156</v>
      </c>
      <c r="H110" s="8" t="s">
        <v>4</v>
      </c>
      <c r="I110" s="5" t="s">
        <v>557</v>
      </c>
      <c r="J110" s="40" t="s">
        <v>557</v>
      </c>
      <c r="K110" s="12">
        <f t="shared" si="10"/>
        <v>481.2</v>
      </c>
      <c r="L110" s="12">
        <f t="shared" si="10"/>
        <v>481.2</v>
      </c>
      <c r="M110" s="12">
        <f t="shared" si="7"/>
        <v>100</v>
      </c>
      <c r="N110" s="9"/>
    </row>
    <row r="111" spans="1:14" s="28" customFormat="1" ht="78.75" x14ac:dyDescent="0.2">
      <c r="A111" s="72"/>
      <c r="B111" s="19" t="s">
        <v>504</v>
      </c>
      <c r="C111" s="62">
        <v>902</v>
      </c>
      <c r="D111" s="8" t="s">
        <v>2</v>
      </c>
      <c r="E111" s="8" t="s">
        <v>41</v>
      </c>
      <c r="F111" s="8" t="s">
        <v>41</v>
      </c>
      <c r="G111" s="8" t="s">
        <v>156</v>
      </c>
      <c r="H111" s="8" t="s">
        <v>4</v>
      </c>
      <c r="I111" s="8" t="s">
        <v>316</v>
      </c>
      <c r="J111" s="40" t="s">
        <v>557</v>
      </c>
      <c r="K111" s="12">
        <f t="shared" si="10"/>
        <v>481.2</v>
      </c>
      <c r="L111" s="12">
        <f t="shared" si="10"/>
        <v>481.2</v>
      </c>
      <c r="M111" s="12">
        <f t="shared" si="7"/>
        <v>100</v>
      </c>
      <c r="N111" s="9"/>
    </row>
    <row r="112" spans="1:14" s="28" customFormat="1" ht="31.5" x14ac:dyDescent="0.2">
      <c r="A112" s="72"/>
      <c r="B112" s="19" t="s">
        <v>164</v>
      </c>
      <c r="C112" s="62">
        <v>902</v>
      </c>
      <c r="D112" s="8" t="s">
        <v>2</v>
      </c>
      <c r="E112" s="8" t="s">
        <v>41</v>
      </c>
      <c r="F112" s="8" t="s">
        <v>41</v>
      </c>
      <c r="G112" s="8" t="s">
        <v>156</v>
      </c>
      <c r="H112" s="8" t="s">
        <v>4</v>
      </c>
      <c r="I112" s="8" t="s">
        <v>316</v>
      </c>
      <c r="J112" s="8" t="s">
        <v>57</v>
      </c>
      <c r="K112" s="12">
        <v>481.2</v>
      </c>
      <c r="L112" s="12">
        <v>481.2</v>
      </c>
      <c r="M112" s="12">
        <f t="shared" si="7"/>
        <v>100</v>
      </c>
      <c r="N112" s="9"/>
    </row>
    <row r="113" spans="1:14" s="28" customFormat="1" ht="31.5" x14ac:dyDescent="0.2">
      <c r="A113" s="72"/>
      <c r="B113" s="41" t="s">
        <v>255</v>
      </c>
      <c r="C113" s="62">
        <v>902</v>
      </c>
      <c r="D113" s="8" t="s">
        <v>2</v>
      </c>
      <c r="E113" s="8" t="s">
        <v>41</v>
      </c>
      <c r="F113" s="8" t="s">
        <v>118</v>
      </c>
      <c r="G113" s="40" t="s">
        <v>557</v>
      </c>
      <c r="H113" s="5" t="s">
        <v>557</v>
      </c>
      <c r="I113" s="5" t="s">
        <v>557</v>
      </c>
      <c r="J113" s="40" t="s">
        <v>557</v>
      </c>
      <c r="K113" s="12">
        <f t="shared" ref="K113:L116" si="11">K114</f>
        <v>360</v>
      </c>
      <c r="L113" s="12">
        <f t="shared" si="11"/>
        <v>324</v>
      </c>
      <c r="M113" s="12">
        <f t="shared" si="7"/>
        <v>90</v>
      </c>
      <c r="N113" s="9"/>
    </row>
    <row r="114" spans="1:14" s="28" customFormat="1" x14ac:dyDescent="0.2">
      <c r="A114" s="72"/>
      <c r="B114" s="19" t="s">
        <v>448</v>
      </c>
      <c r="C114" s="62">
        <v>902</v>
      </c>
      <c r="D114" s="8" t="s">
        <v>2</v>
      </c>
      <c r="E114" s="8" t="s">
        <v>41</v>
      </c>
      <c r="F114" s="8" t="s">
        <v>118</v>
      </c>
      <c r="G114" s="8" t="s">
        <v>123</v>
      </c>
      <c r="H114" s="5" t="s">
        <v>557</v>
      </c>
      <c r="I114" s="5" t="s">
        <v>557</v>
      </c>
      <c r="J114" s="40" t="s">
        <v>557</v>
      </c>
      <c r="K114" s="12">
        <f t="shared" si="11"/>
        <v>360</v>
      </c>
      <c r="L114" s="12">
        <f t="shared" si="11"/>
        <v>324</v>
      </c>
      <c r="M114" s="12">
        <f t="shared" si="7"/>
        <v>90</v>
      </c>
      <c r="N114" s="9"/>
    </row>
    <row r="115" spans="1:14" s="28" customFormat="1" ht="78.75" x14ac:dyDescent="0.2">
      <c r="A115" s="72"/>
      <c r="B115" s="19" t="s">
        <v>480</v>
      </c>
      <c r="C115" s="62">
        <v>902</v>
      </c>
      <c r="D115" s="8" t="s">
        <v>2</v>
      </c>
      <c r="E115" s="8" t="s">
        <v>41</v>
      </c>
      <c r="F115" s="8" t="s">
        <v>118</v>
      </c>
      <c r="G115" s="8" t="s">
        <v>123</v>
      </c>
      <c r="H115" s="8" t="s">
        <v>2</v>
      </c>
      <c r="I115" s="5" t="s">
        <v>557</v>
      </c>
      <c r="J115" s="40" t="s">
        <v>557</v>
      </c>
      <c r="K115" s="12">
        <f t="shared" si="11"/>
        <v>360</v>
      </c>
      <c r="L115" s="12">
        <f t="shared" si="11"/>
        <v>324</v>
      </c>
      <c r="M115" s="12">
        <f t="shared" si="7"/>
        <v>90</v>
      </c>
      <c r="N115" s="9"/>
    </row>
    <row r="116" spans="1:14" s="28" customFormat="1" ht="31.5" x14ac:dyDescent="0.2">
      <c r="A116" s="72"/>
      <c r="B116" s="19" t="s">
        <v>449</v>
      </c>
      <c r="C116" s="62">
        <v>902</v>
      </c>
      <c r="D116" s="8" t="s">
        <v>2</v>
      </c>
      <c r="E116" s="8" t="s">
        <v>41</v>
      </c>
      <c r="F116" s="8" t="s">
        <v>118</v>
      </c>
      <c r="G116" s="8" t="s">
        <v>123</v>
      </c>
      <c r="H116" s="8" t="s">
        <v>2</v>
      </c>
      <c r="I116" s="8" t="s">
        <v>450</v>
      </c>
      <c r="J116" s="40" t="s">
        <v>557</v>
      </c>
      <c r="K116" s="12">
        <f t="shared" si="11"/>
        <v>360</v>
      </c>
      <c r="L116" s="12">
        <f t="shared" si="11"/>
        <v>324</v>
      </c>
      <c r="M116" s="12">
        <f t="shared" si="7"/>
        <v>90</v>
      </c>
      <c r="N116" s="9"/>
    </row>
    <row r="117" spans="1:14" s="28" customFormat="1" ht="31.5" x14ac:dyDescent="0.2">
      <c r="A117" s="72"/>
      <c r="B117" s="19" t="s">
        <v>164</v>
      </c>
      <c r="C117" s="62">
        <v>902</v>
      </c>
      <c r="D117" s="8" t="s">
        <v>2</v>
      </c>
      <c r="E117" s="8" t="s">
        <v>41</v>
      </c>
      <c r="F117" s="8" t="s">
        <v>118</v>
      </c>
      <c r="G117" s="8" t="s">
        <v>123</v>
      </c>
      <c r="H117" s="8" t="s">
        <v>2</v>
      </c>
      <c r="I117" s="8" t="s">
        <v>450</v>
      </c>
      <c r="J117" s="61" t="s">
        <v>57</v>
      </c>
      <c r="K117" s="12">
        <v>360</v>
      </c>
      <c r="L117" s="12">
        <v>324</v>
      </c>
      <c r="M117" s="12">
        <f t="shared" si="7"/>
        <v>90</v>
      </c>
      <c r="N117" s="9"/>
    </row>
    <row r="118" spans="1:14" s="28" customFormat="1" ht="31.5" customHeight="1" x14ac:dyDescent="0.2">
      <c r="A118" s="72"/>
      <c r="B118" s="44" t="s">
        <v>505</v>
      </c>
      <c r="C118" s="62">
        <v>902</v>
      </c>
      <c r="D118" s="8" t="s">
        <v>2</v>
      </c>
      <c r="E118" s="8" t="s">
        <v>41</v>
      </c>
      <c r="F118" s="8" t="s">
        <v>303</v>
      </c>
      <c r="G118" s="40" t="s">
        <v>557</v>
      </c>
      <c r="H118" s="5" t="s">
        <v>557</v>
      </c>
      <c r="I118" s="5" t="s">
        <v>557</v>
      </c>
      <c r="J118" s="40" t="s">
        <v>557</v>
      </c>
      <c r="K118" s="12">
        <f t="shared" ref="K118:L121" si="12">K119</f>
        <v>543.20000000000005</v>
      </c>
      <c r="L118" s="12">
        <f t="shared" si="12"/>
        <v>543.20000000000005</v>
      </c>
      <c r="M118" s="12">
        <f t="shared" si="7"/>
        <v>100</v>
      </c>
      <c r="N118" s="9"/>
    </row>
    <row r="119" spans="1:14" s="28" customFormat="1" ht="47.25" x14ac:dyDescent="0.2">
      <c r="A119" s="72"/>
      <c r="B119" s="44" t="s">
        <v>506</v>
      </c>
      <c r="C119" s="62">
        <v>902</v>
      </c>
      <c r="D119" s="8" t="s">
        <v>2</v>
      </c>
      <c r="E119" s="8" t="s">
        <v>41</v>
      </c>
      <c r="F119" s="8" t="s">
        <v>303</v>
      </c>
      <c r="G119" s="8" t="s">
        <v>116</v>
      </c>
      <c r="H119" s="5" t="s">
        <v>557</v>
      </c>
      <c r="I119" s="5" t="s">
        <v>557</v>
      </c>
      <c r="J119" s="40" t="s">
        <v>557</v>
      </c>
      <c r="K119" s="12">
        <f t="shared" si="12"/>
        <v>543.20000000000005</v>
      </c>
      <c r="L119" s="12">
        <f t="shared" si="12"/>
        <v>543.20000000000005</v>
      </c>
      <c r="M119" s="12">
        <f t="shared" si="7"/>
        <v>100</v>
      </c>
      <c r="N119" s="9"/>
    </row>
    <row r="120" spans="1:14" s="28" customFormat="1" ht="48" customHeight="1" x14ac:dyDescent="0.2">
      <c r="A120" s="72"/>
      <c r="B120" s="44" t="s">
        <v>304</v>
      </c>
      <c r="C120" s="62">
        <v>902</v>
      </c>
      <c r="D120" s="8" t="s">
        <v>2</v>
      </c>
      <c r="E120" s="8" t="s">
        <v>41</v>
      </c>
      <c r="F120" s="8" t="s">
        <v>303</v>
      </c>
      <c r="G120" s="8" t="s">
        <v>116</v>
      </c>
      <c r="H120" s="8" t="s">
        <v>2</v>
      </c>
      <c r="I120" s="5" t="s">
        <v>557</v>
      </c>
      <c r="J120" s="40" t="s">
        <v>557</v>
      </c>
      <c r="K120" s="12">
        <f t="shared" si="12"/>
        <v>543.20000000000005</v>
      </c>
      <c r="L120" s="12">
        <f t="shared" si="12"/>
        <v>543.20000000000005</v>
      </c>
      <c r="M120" s="12">
        <f t="shared" si="7"/>
        <v>100</v>
      </c>
      <c r="N120" s="9"/>
    </row>
    <row r="121" spans="1:14" s="28" customFormat="1" ht="47.25" x14ac:dyDescent="0.2">
      <c r="A121" s="72"/>
      <c r="B121" s="44" t="s">
        <v>507</v>
      </c>
      <c r="C121" s="62">
        <v>902</v>
      </c>
      <c r="D121" s="8" t="s">
        <v>2</v>
      </c>
      <c r="E121" s="8" t="s">
        <v>41</v>
      </c>
      <c r="F121" s="8" t="s">
        <v>303</v>
      </c>
      <c r="G121" s="8" t="s">
        <v>116</v>
      </c>
      <c r="H121" s="8" t="s">
        <v>2</v>
      </c>
      <c r="I121" s="8" t="s">
        <v>433</v>
      </c>
      <c r="J121" s="40" t="s">
        <v>557</v>
      </c>
      <c r="K121" s="12">
        <f t="shared" si="12"/>
        <v>543.20000000000005</v>
      </c>
      <c r="L121" s="12">
        <f t="shared" si="12"/>
        <v>543.20000000000005</v>
      </c>
      <c r="M121" s="12">
        <f t="shared" si="7"/>
        <v>100</v>
      </c>
      <c r="N121" s="9"/>
    </row>
    <row r="122" spans="1:14" s="28" customFormat="1" ht="31.5" x14ac:dyDescent="0.2">
      <c r="A122" s="72"/>
      <c r="B122" s="19" t="s">
        <v>164</v>
      </c>
      <c r="C122" s="62">
        <v>902</v>
      </c>
      <c r="D122" s="8" t="s">
        <v>2</v>
      </c>
      <c r="E122" s="8" t="s">
        <v>41</v>
      </c>
      <c r="F122" s="8" t="s">
        <v>303</v>
      </c>
      <c r="G122" s="8" t="s">
        <v>116</v>
      </c>
      <c r="H122" s="8" t="s">
        <v>2</v>
      </c>
      <c r="I122" s="8" t="s">
        <v>433</v>
      </c>
      <c r="J122" s="61" t="s">
        <v>57</v>
      </c>
      <c r="K122" s="12">
        <v>543.20000000000005</v>
      </c>
      <c r="L122" s="12">
        <v>543.20000000000005</v>
      </c>
      <c r="M122" s="12">
        <f t="shared" si="7"/>
        <v>100</v>
      </c>
      <c r="N122" s="9"/>
    </row>
    <row r="123" spans="1:14" s="28" customFormat="1" ht="31.5" x14ac:dyDescent="0.2">
      <c r="A123" s="72"/>
      <c r="B123" s="41" t="s">
        <v>235</v>
      </c>
      <c r="C123" s="62">
        <v>902</v>
      </c>
      <c r="D123" s="8" t="s">
        <v>2</v>
      </c>
      <c r="E123" s="8" t="s">
        <v>41</v>
      </c>
      <c r="F123" s="8" t="s">
        <v>106</v>
      </c>
      <c r="G123" s="40" t="s">
        <v>557</v>
      </c>
      <c r="H123" s="5" t="s">
        <v>557</v>
      </c>
      <c r="I123" s="5" t="s">
        <v>557</v>
      </c>
      <c r="J123" s="40" t="s">
        <v>557</v>
      </c>
      <c r="K123" s="12">
        <f t="shared" ref="K123:L126" si="13">SUM(K124)</f>
        <v>11085</v>
      </c>
      <c r="L123" s="12">
        <f t="shared" si="13"/>
        <v>11085</v>
      </c>
      <c r="M123" s="12">
        <f t="shared" si="7"/>
        <v>100</v>
      </c>
      <c r="N123" s="9"/>
    </row>
    <row r="124" spans="1:14" s="28" customFormat="1" ht="47.25" x14ac:dyDescent="0.2">
      <c r="A124" s="72"/>
      <c r="B124" s="41" t="s">
        <v>355</v>
      </c>
      <c r="C124" s="62">
        <v>902</v>
      </c>
      <c r="D124" s="8" t="s">
        <v>2</v>
      </c>
      <c r="E124" s="8" t="s">
        <v>41</v>
      </c>
      <c r="F124" s="8" t="s">
        <v>106</v>
      </c>
      <c r="G124" s="63">
        <v>1</v>
      </c>
      <c r="H124" s="5" t="s">
        <v>557</v>
      </c>
      <c r="I124" s="5" t="s">
        <v>557</v>
      </c>
      <c r="J124" s="40" t="s">
        <v>557</v>
      </c>
      <c r="K124" s="12">
        <f t="shared" si="13"/>
        <v>11085</v>
      </c>
      <c r="L124" s="12">
        <f t="shared" si="13"/>
        <v>11085</v>
      </c>
      <c r="M124" s="12">
        <f t="shared" si="7"/>
        <v>100</v>
      </c>
      <c r="N124" s="9"/>
    </row>
    <row r="125" spans="1:14" s="28" customFormat="1" ht="31.5" x14ac:dyDescent="0.2">
      <c r="A125" s="72"/>
      <c r="B125" s="41" t="s">
        <v>107</v>
      </c>
      <c r="C125" s="62">
        <v>902</v>
      </c>
      <c r="D125" s="8" t="s">
        <v>2</v>
      </c>
      <c r="E125" s="8" t="s">
        <v>41</v>
      </c>
      <c r="F125" s="8" t="s">
        <v>106</v>
      </c>
      <c r="G125" s="63">
        <v>1</v>
      </c>
      <c r="H125" s="8" t="s">
        <v>2</v>
      </c>
      <c r="I125" s="5" t="s">
        <v>557</v>
      </c>
      <c r="J125" s="40" t="s">
        <v>557</v>
      </c>
      <c r="K125" s="12">
        <f t="shared" si="13"/>
        <v>11085</v>
      </c>
      <c r="L125" s="12">
        <f t="shared" si="13"/>
        <v>11085</v>
      </c>
      <c r="M125" s="12">
        <f t="shared" si="7"/>
        <v>100</v>
      </c>
      <c r="N125" s="9"/>
    </row>
    <row r="126" spans="1:14" s="28" customFormat="1" ht="31.5" x14ac:dyDescent="0.2">
      <c r="A126" s="72"/>
      <c r="B126" s="45" t="s">
        <v>108</v>
      </c>
      <c r="C126" s="62">
        <v>902</v>
      </c>
      <c r="D126" s="8" t="s">
        <v>2</v>
      </c>
      <c r="E126" s="8" t="s">
        <v>41</v>
      </c>
      <c r="F126" s="8" t="s">
        <v>106</v>
      </c>
      <c r="G126" s="63">
        <v>1</v>
      </c>
      <c r="H126" s="8" t="s">
        <v>2</v>
      </c>
      <c r="I126" s="8" t="s">
        <v>109</v>
      </c>
      <c r="J126" s="40" t="s">
        <v>557</v>
      </c>
      <c r="K126" s="12">
        <f t="shared" si="13"/>
        <v>11085</v>
      </c>
      <c r="L126" s="12">
        <f t="shared" si="13"/>
        <v>11085</v>
      </c>
      <c r="M126" s="12">
        <f t="shared" si="7"/>
        <v>100</v>
      </c>
      <c r="N126" s="9"/>
    </row>
    <row r="127" spans="1:14" s="28" customFormat="1" ht="31.5" customHeight="1" x14ac:dyDescent="0.2">
      <c r="A127" s="72"/>
      <c r="B127" s="44" t="s">
        <v>72</v>
      </c>
      <c r="C127" s="62">
        <v>902</v>
      </c>
      <c r="D127" s="8" t="s">
        <v>2</v>
      </c>
      <c r="E127" s="8" t="s">
        <v>41</v>
      </c>
      <c r="F127" s="8" t="s">
        <v>106</v>
      </c>
      <c r="G127" s="63">
        <v>1</v>
      </c>
      <c r="H127" s="8" t="s">
        <v>2</v>
      </c>
      <c r="I127" s="8" t="s">
        <v>109</v>
      </c>
      <c r="J127" s="8" t="s">
        <v>73</v>
      </c>
      <c r="K127" s="12">
        <f>50+35+83+217+100+40+5063+5063+637.1-203.1</f>
        <v>11085</v>
      </c>
      <c r="L127" s="12">
        <f>50+35+83+217+100+40+5063+5063+637.1-203.1</f>
        <v>11085</v>
      </c>
      <c r="M127" s="12">
        <f t="shared" si="7"/>
        <v>100</v>
      </c>
      <c r="N127" s="9"/>
    </row>
    <row r="128" spans="1:14" s="28" customFormat="1" ht="48" customHeight="1" x14ac:dyDescent="0.2">
      <c r="A128" s="72"/>
      <c r="B128" s="19" t="s">
        <v>276</v>
      </c>
      <c r="C128" s="62">
        <v>902</v>
      </c>
      <c r="D128" s="8" t="s">
        <v>2</v>
      </c>
      <c r="E128" s="8" t="s">
        <v>41</v>
      </c>
      <c r="F128" s="8" t="s">
        <v>173</v>
      </c>
      <c r="G128" s="40" t="s">
        <v>557</v>
      </c>
      <c r="H128" s="5" t="s">
        <v>557</v>
      </c>
      <c r="I128" s="5" t="s">
        <v>557</v>
      </c>
      <c r="J128" s="40" t="s">
        <v>557</v>
      </c>
      <c r="K128" s="12">
        <f>K129</f>
        <v>697.3</v>
      </c>
      <c r="L128" s="12">
        <f>L129</f>
        <v>690</v>
      </c>
      <c r="M128" s="12">
        <f t="shared" si="7"/>
        <v>98.953104832927011</v>
      </c>
      <c r="N128" s="9"/>
    </row>
    <row r="129" spans="1:14" s="28" customFormat="1" ht="63" x14ac:dyDescent="0.2">
      <c r="A129" s="72"/>
      <c r="B129" s="19" t="s">
        <v>277</v>
      </c>
      <c r="C129" s="62">
        <v>902</v>
      </c>
      <c r="D129" s="8" t="s">
        <v>2</v>
      </c>
      <c r="E129" s="8" t="s">
        <v>41</v>
      </c>
      <c r="F129" s="8" t="s">
        <v>173</v>
      </c>
      <c r="G129" s="8" t="s">
        <v>116</v>
      </c>
      <c r="H129" s="5" t="s">
        <v>557</v>
      </c>
      <c r="I129" s="5" t="s">
        <v>557</v>
      </c>
      <c r="J129" s="40" t="s">
        <v>557</v>
      </c>
      <c r="K129" s="12">
        <f>K130+K134</f>
        <v>697.3</v>
      </c>
      <c r="L129" s="12">
        <f>L130+L134</f>
        <v>690</v>
      </c>
      <c r="M129" s="12">
        <f t="shared" si="7"/>
        <v>98.953104832927011</v>
      </c>
      <c r="N129" s="9"/>
    </row>
    <row r="130" spans="1:14" s="28" customFormat="1" ht="34.5" customHeight="1" x14ac:dyDescent="0.2">
      <c r="A130" s="72"/>
      <c r="B130" s="19" t="s">
        <v>285</v>
      </c>
      <c r="C130" s="62">
        <v>902</v>
      </c>
      <c r="D130" s="8" t="s">
        <v>2</v>
      </c>
      <c r="E130" s="8" t="s">
        <v>41</v>
      </c>
      <c r="F130" s="8" t="s">
        <v>173</v>
      </c>
      <c r="G130" s="8" t="s">
        <v>116</v>
      </c>
      <c r="H130" s="8" t="s">
        <v>6</v>
      </c>
      <c r="I130" s="5" t="s">
        <v>557</v>
      </c>
      <c r="J130" s="40" t="s">
        <v>557</v>
      </c>
      <c r="K130" s="12">
        <f>K131</f>
        <v>46.79999999999999</v>
      </c>
      <c r="L130" s="12">
        <f>L131</f>
        <v>46.79999999999999</v>
      </c>
      <c r="M130" s="12">
        <f t="shared" si="7"/>
        <v>100</v>
      </c>
      <c r="N130" s="9"/>
    </row>
    <row r="131" spans="1:14" s="28" customFormat="1" ht="47.25" x14ac:dyDescent="0.2">
      <c r="A131" s="72"/>
      <c r="B131" s="19" t="s">
        <v>286</v>
      </c>
      <c r="C131" s="62">
        <v>902</v>
      </c>
      <c r="D131" s="8" t="s">
        <v>2</v>
      </c>
      <c r="E131" s="8" t="s">
        <v>41</v>
      </c>
      <c r="F131" s="8" t="s">
        <v>173</v>
      </c>
      <c r="G131" s="8" t="s">
        <v>116</v>
      </c>
      <c r="H131" s="8" t="s">
        <v>6</v>
      </c>
      <c r="I131" s="8" t="s">
        <v>284</v>
      </c>
      <c r="J131" s="40" t="s">
        <v>557</v>
      </c>
      <c r="K131" s="12">
        <f>K132+K133</f>
        <v>46.79999999999999</v>
      </c>
      <c r="L131" s="12">
        <f>L132+L133</f>
        <v>46.79999999999999</v>
      </c>
      <c r="M131" s="12">
        <f t="shared" si="7"/>
        <v>100</v>
      </c>
      <c r="N131" s="9"/>
    </row>
    <row r="132" spans="1:14" s="28" customFormat="1" ht="47.25" customHeight="1" x14ac:dyDescent="0.2">
      <c r="A132" s="72"/>
      <c r="B132" s="19" t="s">
        <v>54</v>
      </c>
      <c r="C132" s="62">
        <v>902</v>
      </c>
      <c r="D132" s="8" t="s">
        <v>2</v>
      </c>
      <c r="E132" s="8" t="s">
        <v>41</v>
      </c>
      <c r="F132" s="8" t="s">
        <v>173</v>
      </c>
      <c r="G132" s="8" t="s">
        <v>116</v>
      </c>
      <c r="H132" s="8" t="s">
        <v>6</v>
      </c>
      <c r="I132" s="8" t="s">
        <v>284</v>
      </c>
      <c r="J132" s="8" t="s">
        <v>55</v>
      </c>
      <c r="K132" s="12">
        <v>24</v>
      </c>
      <c r="L132" s="12">
        <v>24</v>
      </c>
      <c r="M132" s="12">
        <f t="shared" si="7"/>
        <v>100</v>
      </c>
      <c r="N132" s="9"/>
    </row>
    <row r="133" spans="1:14" s="28" customFormat="1" ht="31.5" x14ac:dyDescent="0.2">
      <c r="A133" s="72"/>
      <c r="B133" s="19" t="s">
        <v>164</v>
      </c>
      <c r="C133" s="62">
        <v>902</v>
      </c>
      <c r="D133" s="8" t="s">
        <v>2</v>
      </c>
      <c r="E133" s="8" t="s">
        <v>41</v>
      </c>
      <c r="F133" s="8" t="s">
        <v>173</v>
      </c>
      <c r="G133" s="8" t="s">
        <v>116</v>
      </c>
      <c r="H133" s="8" t="s">
        <v>6</v>
      </c>
      <c r="I133" s="8" t="s">
        <v>284</v>
      </c>
      <c r="J133" s="8" t="s">
        <v>57</v>
      </c>
      <c r="K133" s="12">
        <f>399.7-24-302-50.9</f>
        <v>22.79999999999999</v>
      </c>
      <c r="L133" s="12">
        <f>399.7-24-302-50.9</f>
        <v>22.79999999999999</v>
      </c>
      <c r="M133" s="12">
        <f t="shared" si="7"/>
        <v>100</v>
      </c>
      <c r="N133" s="9"/>
    </row>
    <row r="134" spans="1:14" s="28" customFormat="1" ht="63" x14ac:dyDescent="0.2">
      <c r="A134" s="72"/>
      <c r="B134" s="19" t="s">
        <v>471</v>
      </c>
      <c r="C134" s="62">
        <v>902</v>
      </c>
      <c r="D134" s="8" t="s">
        <v>2</v>
      </c>
      <c r="E134" s="8" t="s">
        <v>41</v>
      </c>
      <c r="F134" s="8" t="s">
        <v>173</v>
      </c>
      <c r="G134" s="8" t="s">
        <v>116</v>
      </c>
      <c r="H134" s="8" t="s">
        <v>7</v>
      </c>
      <c r="I134" s="5" t="s">
        <v>557</v>
      </c>
      <c r="J134" s="40" t="s">
        <v>557</v>
      </c>
      <c r="K134" s="12">
        <f>K135</f>
        <v>650.5</v>
      </c>
      <c r="L134" s="12">
        <f>L135</f>
        <v>643.20000000000005</v>
      </c>
      <c r="M134" s="12">
        <f t="shared" si="7"/>
        <v>98.877786318216764</v>
      </c>
      <c r="N134" s="9"/>
    </row>
    <row r="135" spans="1:14" s="28" customFormat="1" ht="31.5" x14ac:dyDescent="0.2">
      <c r="A135" s="72"/>
      <c r="B135" s="44" t="s">
        <v>377</v>
      </c>
      <c r="C135" s="62">
        <v>902</v>
      </c>
      <c r="D135" s="8" t="s">
        <v>2</v>
      </c>
      <c r="E135" s="8" t="s">
        <v>41</v>
      </c>
      <c r="F135" s="8" t="s">
        <v>173</v>
      </c>
      <c r="G135" s="8" t="s">
        <v>116</v>
      </c>
      <c r="H135" s="8" t="s">
        <v>7</v>
      </c>
      <c r="I135" s="8" t="s">
        <v>376</v>
      </c>
      <c r="J135" s="40" t="s">
        <v>557</v>
      </c>
      <c r="K135" s="12">
        <f>K136</f>
        <v>650.5</v>
      </c>
      <c r="L135" s="12">
        <f>L136</f>
        <v>643.20000000000005</v>
      </c>
      <c r="M135" s="12">
        <f t="shared" si="7"/>
        <v>98.877786318216764</v>
      </c>
      <c r="N135" s="9"/>
    </row>
    <row r="136" spans="1:14" s="28" customFormat="1" ht="31.5" x14ac:dyDescent="0.2">
      <c r="A136" s="72"/>
      <c r="B136" s="19" t="s">
        <v>164</v>
      </c>
      <c r="C136" s="62">
        <v>902</v>
      </c>
      <c r="D136" s="8" t="s">
        <v>2</v>
      </c>
      <c r="E136" s="8" t="s">
        <v>41</v>
      </c>
      <c r="F136" s="8" t="s">
        <v>173</v>
      </c>
      <c r="G136" s="8" t="s">
        <v>116</v>
      </c>
      <c r="H136" s="8" t="s">
        <v>7</v>
      </c>
      <c r="I136" s="8" t="s">
        <v>376</v>
      </c>
      <c r="J136" s="8" t="s">
        <v>57</v>
      </c>
      <c r="K136" s="12">
        <f>401.1+401.1-151.7</f>
        <v>650.5</v>
      </c>
      <c r="L136" s="12">
        <v>643.20000000000005</v>
      </c>
      <c r="M136" s="12">
        <f t="shared" ref="M136:M199" si="14">SUM(L136/K136*100)</f>
        <v>98.877786318216764</v>
      </c>
      <c r="N136" s="9"/>
    </row>
    <row r="137" spans="1:14" s="28" customFormat="1" ht="31.5" x14ac:dyDescent="0.2">
      <c r="A137" s="72"/>
      <c r="B137" s="19" t="s">
        <v>85</v>
      </c>
      <c r="C137" s="62">
        <v>902</v>
      </c>
      <c r="D137" s="8" t="s">
        <v>2</v>
      </c>
      <c r="E137" s="8" t="s">
        <v>41</v>
      </c>
      <c r="F137" s="8" t="s">
        <v>104</v>
      </c>
      <c r="G137" s="40" t="s">
        <v>557</v>
      </c>
      <c r="H137" s="5" t="s">
        <v>557</v>
      </c>
      <c r="I137" s="5" t="s">
        <v>557</v>
      </c>
      <c r="J137" s="40" t="s">
        <v>557</v>
      </c>
      <c r="K137" s="12">
        <f>SUM(K138+K142)</f>
        <v>7472.8</v>
      </c>
      <c r="L137" s="12">
        <f>SUM(L138+L142)</f>
        <v>7471.2999999999993</v>
      </c>
      <c r="M137" s="12">
        <f t="shared" si="14"/>
        <v>99.979927202654949</v>
      </c>
      <c r="N137" s="9"/>
    </row>
    <row r="138" spans="1:14" s="28" customFormat="1" ht="36.75" customHeight="1" x14ac:dyDescent="0.2">
      <c r="A138" s="72"/>
      <c r="B138" s="19" t="s">
        <v>58</v>
      </c>
      <c r="C138" s="62">
        <v>902</v>
      </c>
      <c r="D138" s="8" t="s">
        <v>2</v>
      </c>
      <c r="E138" s="8" t="s">
        <v>41</v>
      </c>
      <c r="F138" s="8" t="s">
        <v>104</v>
      </c>
      <c r="G138" s="63">
        <v>1</v>
      </c>
      <c r="H138" s="5" t="s">
        <v>557</v>
      </c>
      <c r="I138" s="5" t="s">
        <v>557</v>
      </c>
      <c r="J138" s="40" t="s">
        <v>557</v>
      </c>
      <c r="K138" s="12">
        <f t="shared" ref="K138:L138" si="15">SUM(K139)</f>
        <v>4003.2</v>
      </c>
      <c r="L138" s="12">
        <f t="shared" si="15"/>
        <v>4001.7</v>
      </c>
      <c r="M138" s="12">
        <f t="shared" si="14"/>
        <v>99.962529976019184</v>
      </c>
      <c r="N138" s="9"/>
    </row>
    <row r="139" spans="1:14" s="28" customFormat="1" ht="31.5" x14ac:dyDescent="0.2">
      <c r="A139" s="72"/>
      <c r="B139" s="19" t="s">
        <v>53</v>
      </c>
      <c r="C139" s="62">
        <v>902</v>
      </c>
      <c r="D139" s="8" t="s">
        <v>2</v>
      </c>
      <c r="E139" s="8" t="s">
        <v>41</v>
      </c>
      <c r="F139" s="8" t="s">
        <v>104</v>
      </c>
      <c r="G139" s="63">
        <v>1</v>
      </c>
      <c r="H139" s="8" t="s">
        <v>97</v>
      </c>
      <c r="I139" s="8" t="s">
        <v>99</v>
      </c>
      <c r="J139" s="40" t="s">
        <v>557</v>
      </c>
      <c r="K139" s="12">
        <f>SUM(K140:K141)</f>
        <v>4003.2</v>
      </c>
      <c r="L139" s="12">
        <f>SUM(L140:L141)</f>
        <v>4001.7</v>
      </c>
      <c r="M139" s="12">
        <f t="shared" si="14"/>
        <v>99.962529976019184</v>
      </c>
      <c r="N139" s="9"/>
    </row>
    <row r="140" spans="1:14" s="28" customFormat="1" ht="46.5" customHeight="1" x14ac:dyDescent="0.2">
      <c r="A140" s="72"/>
      <c r="B140" s="19" t="s">
        <v>54</v>
      </c>
      <c r="C140" s="62">
        <v>902</v>
      </c>
      <c r="D140" s="8" t="s">
        <v>2</v>
      </c>
      <c r="E140" s="8" t="s">
        <v>41</v>
      </c>
      <c r="F140" s="8" t="s">
        <v>104</v>
      </c>
      <c r="G140" s="63">
        <v>1</v>
      </c>
      <c r="H140" s="8" t="s">
        <v>97</v>
      </c>
      <c r="I140" s="8" t="s">
        <v>99</v>
      </c>
      <c r="J140" s="8" t="s">
        <v>55</v>
      </c>
      <c r="K140" s="12">
        <f>3463.2+589.6-69.5+0.1</f>
        <v>3983.3999999999996</v>
      </c>
      <c r="L140" s="12">
        <f>3463.2+589.6-69.5</f>
        <v>3983.2999999999997</v>
      </c>
      <c r="M140" s="12">
        <f t="shared" si="14"/>
        <v>99.997489581764327</v>
      </c>
      <c r="N140" s="9"/>
    </row>
    <row r="141" spans="1:14" s="28" customFormat="1" ht="31.5" x14ac:dyDescent="0.2">
      <c r="A141" s="72"/>
      <c r="B141" s="19" t="s">
        <v>164</v>
      </c>
      <c r="C141" s="62">
        <v>902</v>
      </c>
      <c r="D141" s="8" t="s">
        <v>2</v>
      </c>
      <c r="E141" s="8" t="s">
        <v>41</v>
      </c>
      <c r="F141" s="8" t="s">
        <v>104</v>
      </c>
      <c r="G141" s="63">
        <v>1</v>
      </c>
      <c r="H141" s="8" t="s">
        <v>97</v>
      </c>
      <c r="I141" s="8" t="s">
        <v>99</v>
      </c>
      <c r="J141" s="8" t="s">
        <v>57</v>
      </c>
      <c r="K141" s="12">
        <f>70.4+0.7-36-15.3</f>
        <v>19.800000000000008</v>
      </c>
      <c r="L141" s="12">
        <v>18.399999999999999</v>
      </c>
      <c r="M141" s="12">
        <f t="shared" si="14"/>
        <v>92.929292929292885</v>
      </c>
      <c r="N141" s="9"/>
    </row>
    <row r="142" spans="1:14" s="28" customFormat="1" ht="31.5" x14ac:dyDescent="0.2">
      <c r="A142" s="72"/>
      <c r="B142" s="19" t="s">
        <v>330</v>
      </c>
      <c r="C142" s="62">
        <v>902</v>
      </c>
      <c r="D142" s="8" t="s">
        <v>2</v>
      </c>
      <c r="E142" s="8" t="s">
        <v>41</v>
      </c>
      <c r="F142" s="8" t="s">
        <v>104</v>
      </c>
      <c r="G142" s="8" t="s">
        <v>123</v>
      </c>
      <c r="H142" s="5" t="s">
        <v>557</v>
      </c>
      <c r="I142" s="5" t="s">
        <v>557</v>
      </c>
      <c r="J142" s="40" t="s">
        <v>557</v>
      </c>
      <c r="K142" s="12">
        <f>K143</f>
        <v>3469.6000000000004</v>
      </c>
      <c r="L142" s="12">
        <f>L143</f>
        <v>3469.6</v>
      </c>
      <c r="M142" s="12">
        <f t="shared" si="14"/>
        <v>99.999999999999986</v>
      </c>
      <c r="N142" s="9"/>
    </row>
    <row r="143" spans="1:14" s="28" customFormat="1" ht="31.5" x14ac:dyDescent="0.2">
      <c r="A143" s="72"/>
      <c r="B143" s="19" t="s">
        <v>330</v>
      </c>
      <c r="C143" s="62">
        <v>902</v>
      </c>
      <c r="D143" s="8" t="s">
        <v>2</v>
      </c>
      <c r="E143" s="8" t="s">
        <v>41</v>
      </c>
      <c r="F143" s="8" t="s">
        <v>104</v>
      </c>
      <c r="G143" s="8" t="s">
        <v>123</v>
      </c>
      <c r="H143" s="8" t="s">
        <v>97</v>
      </c>
      <c r="I143" s="8" t="s">
        <v>329</v>
      </c>
      <c r="J143" s="40" t="s">
        <v>557</v>
      </c>
      <c r="K143" s="12">
        <f>K144</f>
        <v>3469.6000000000004</v>
      </c>
      <c r="L143" s="12">
        <f>L144</f>
        <v>3469.6</v>
      </c>
      <c r="M143" s="12">
        <f t="shared" si="14"/>
        <v>99.999999999999986</v>
      </c>
      <c r="N143" s="9"/>
    </row>
    <row r="144" spans="1:14" s="28" customFormat="1" x14ac:dyDescent="0.2">
      <c r="A144" s="72"/>
      <c r="B144" s="19" t="s">
        <v>59</v>
      </c>
      <c r="C144" s="62">
        <v>902</v>
      </c>
      <c r="D144" s="8" t="s">
        <v>2</v>
      </c>
      <c r="E144" s="8" t="s">
        <v>41</v>
      </c>
      <c r="F144" s="8" t="s">
        <v>104</v>
      </c>
      <c r="G144" s="8" t="s">
        <v>123</v>
      </c>
      <c r="H144" s="8" t="s">
        <v>97</v>
      </c>
      <c r="I144" s="8" t="s">
        <v>329</v>
      </c>
      <c r="J144" s="8" t="s">
        <v>60</v>
      </c>
      <c r="K144" s="12">
        <f>183+60+40+77.2+77.2+160+76+65.6+3+110.7+15.5+65+535.6+178.5+250+279.9+50+50+50+50+4+50+235.5-0.1+100+45+50+50+40+46.8+255.9+215.2+0.1</f>
        <v>3469.6000000000004</v>
      </c>
      <c r="L144" s="12">
        <v>3469.6</v>
      </c>
      <c r="M144" s="12">
        <f t="shared" si="14"/>
        <v>99.999999999999986</v>
      </c>
      <c r="N144" s="9"/>
    </row>
    <row r="145" spans="1:14" s="28" customFormat="1" ht="47.25" x14ac:dyDescent="0.2">
      <c r="A145" s="72"/>
      <c r="B145" s="19" t="s">
        <v>80</v>
      </c>
      <c r="C145" s="62">
        <v>902</v>
      </c>
      <c r="D145" s="8" t="s">
        <v>2</v>
      </c>
      <c r="E145" s="8" t="s">
        <v>41</v>
      </c>
      <c r="F145" s="8" t="s">
        <v>131</v>
      </c>
      <c r="G145" s="40" t="s">
        <v>557</v>
      </c>
      <c r="H145" s="5" t="s">
        <v>557</v>
      </c>
      <c r="I145" s="5" t="s">
        <v>557</v>
      </c>
      <c r="J145" s="40" t="s">
        <v>557</v>
      </c>
      <c r="K145" s="12">
        <f t="shared" ref="K145:L147" si="16">SUM(K146)</f>
        <v>97658.5</v>
      </c>
      <c r="L145" s="12">
        <f t="shared" si="16"/>
        <v>97658.5</v>
      </c>
      <c r="M145" s="12">
        <f t="shared" si="14"/>
        <v>100</v>
      </c>
      <c r="N145" s="9"/>
    </row>
    <row r="146" spans="1:14" s="28" customFormat="1" ht="17.25" customHeight="1" x14ac:dyDescent="0.2">
      <c r="A146" s="72"/>
      <c r="B146" s="19" t="s">
        <v>63</v>
      </c>
      <c r="C146" s="62">
        <v>902</v>
      </c>
      <c r="D146" s="8" t="s">
        <v>2</v>
      </c>
      <c r="E146" s="8" t="s">
        <v>41</v>
      </c>
      <c r="F146" s="8" t="s">
        <v>131</v>
      </c>
      <c r="G146" s="8" t="s">
        <v>156</v>
      </c>
      <c r="H146" s="5" t="s">
        <v>557</v>
      </c>
      <c r="I146" s="5" t="s">
        <v>557</v>
      </c>
      <c r="J146" s="40" t="s">
        <v>557</v>
      </c>
      <c r="K146" s="12">
        <f t="shared" si="16"/>
        <v>97658.5</v>
      </c>
      <c r="L146" s="12">
        <f t="shared" si="16"/>
        <v>97658.5</v>
      </c>
      <c r="M146" s="12">
        <f t="shared" si="14"/>
        <v>100</v>
      </c>
      <c r="N146" s="9"/>
    </row>
    <row r="147" spans="1:14" s="28" customFormat="1" ht="31.5" x14ac:dyDescent="0.2">
      <c r="A147" s="72"/>
      <c r="B147" s="19" t="s">
        <v>473</v>
      </c>
      <c r="C147" s="62">
        <v>902</v>
      </c>
      <c r="D147" s="8" t="s">
        <v>2</v>
      </c>
      <c r="E147" s="8" t="s">
        <v>41</v>
      </c>
      <c r="F147" s="8" t="s">
        <v>131</v>
      </c>
      <c r="G147" s="8" t="s">
        <v>156</v>
      </c>
      <c r="H147" s="8" t="s">
        <v>97</v>
      </c>
      <c r="I147" s="8" t="s">
        <v>472</v>
      </c>
      <c r="J147" s="40" t="s">
        <v>557</v>
      </c>
      <c r="K147" s="12">
        <f t="shared" si="16"/>
        <v>97658.5</v>
      </c>
      <c r="L147" s="12">
        <f t="shared" si="16"/>
        <v>97658.5</v>
      </c>
      <c r="M147" s="12">
        <f t="shared" si="14"/>
        <v>100</v>
      </c>
      <c r="N147" s="9"/>
    </row>
    <row r="148" spans="1:14" s="28" customFormat="1" ht="31.5" x14ac:dyDescent="0.2">
      <c r="A148" s="72"/>
      <c r="B148" s="19" t="s">
        <v>164</v>
      </c>
      <c r="C148" s="62">
        <v>902</v>
      </c>
      <c r="D148" s="8" t="s">
        <v>2</v>
      </c>
      <c r="E148" s="8" t="s">
        <v>41</v>
      </c>
      <c r="F148" s="8" t="s">
        <v>131</v>
      </c>
      <c r="G148" s="8" t="s">
        <v>156</v>
      </c>
      <c r="H148" s="8" t="s">
        <v>97</v>
      </c>
      <c r="I148" s="8" t="s">
        <v>472</v>
      </c>
      <c r="J148" s="8" t="s">
        <v>57</v>
      </c>
      <c r="K148" s="12">
        <f>21560.1+11288+11569.6+20003.7+9116.7+9381+9165.8+5573.6</f>
        <v>97658.5</v>
      </c>
      <c r="L148" s="12">
        <f>21560.1+11288+11569.6+20003.7+9116.7+9381+9165.8+5573.6</f>
        <v>97658.5</v>
      </c>
      <c r="M148" s="12">
        <f t="shared" si="14"/>
        <v>100</v>
      </c>
      <c r="N148" s="9"/>
    </row>
    <row r="149" spans="1:14" s="28" customFormat="1" x14ac:dyDescent="0.2">
      <c r="A149" s="72"/>
      <c r="B149" s="19" t="s">
        <v>11</v>
      </c>
      <c r="C149" s="62">
        <v>902</v>
      </c>
      <c r="D149" s="8" t="s">
        <v>4</v>
      </c>
      <c r="E149" s="40" t="s">
        <v>557</v>
      </c>
      <c r="F149" s="5" t="s">
        <v>557</v>
      </c>
      <c r="G149" s="40" t="s">
        <v>557</v>
      </c>
      <c r="H149" s="5" t="s">
        <v>557</v>
      </c>
      <c r="I149" s="5" t="s">
        <v>557</v>
      </c>
      <c r="J149" s="40" t="s">
        <v>557</v>
      </c>
      <c r="K149" s="12">
        <f t="shared" ref="K149:L153" si="17">SUM(K150)</f>
        <v>310</v>
      </c>
      <c r="L149" s="12">
        <f t="shared" si="17"/>
        <v>250.1</v>
      </c>
      <c r="M149" s="12">
        <f t="shared" si="14"/>
        <v>80.677419354838705</v>
      </c>
      <c r="N149" s="9"/>
    </row>
    <row r="150" spans="1:14" s="28" customFormat="1" x14ac:dyDescent="0.2">
      <c r="A150" s="72"/>
      <c r="B150" s="19" t="s">
        <v>12</v>
      </c>
      <c r="C150" s="62">
        <v>902</v>
      </c>
      <c r="D150" s="8" t="s">
        <v>4</v>
      </c>
      <c r="E150" s="8" t="s">
        <v>6</v>
      </c>
      <c r="F150" s="5" t="s">
        <v>557</v>
      </c>
      <c r="G150" s="40" t="s">
        <v>557</v>
      </c>
      <c r="H150" s="5" t="s">
        <v>557</v>
      </c>
      <c r="I150" s="5" t="s">
        <v>557</v>
      </c>
      <c r="J150" s="40" t="s">
        <v>557</v>
      </c>
      <c r="K150" s="12">
        <f t="shared" si="17"/>
        <v>310</v>
      </c>
      <c r="L150" s="12">
        <f t="shared" si="17"/>
        <v>250.1</v>
      </c>
      <c r="M150" s="12">
        <f t="shared" si="14"/>
        <v>80.677419354838705</v>
      </c>
      <c r="N150" s="9"/>
    </row>
    <row r="151" spans="1:14" s="28" customFormat="1" ht="31.5" x14ac:dyDescent="0.2">
      <c r="A151" s="72"/>
      <c r="B151" s="19" t="s">
        <v>62</v>
      </c>
      <c r="C151" s="62">
        <v>902</v>
      </c>
      <c r="D151" s="8" t="s">
        <v>4</v>
      </c>
      <c r="E151" s="8" t="s">
        <v>6</v>
      </c>
      <c r="F151" s="8" t="s">
        <v>112</v>
      </c>
      <c r="G151" s="40" t="s">
        <v>557</v>
      </c>
      <c r="H151" s="5" t="s">
        <v>557</v>
      </c>
      <c r="I151" s="5" t="s">
        <v>557</v>
      </c>
      <c r="J151" s="40" t="s">
        <v>557</v>
      </c>
      <c r="K151" s="12">
        <f t="shared" si="17"/>
        <v>310</v>
      </c>
      <c r="L151" s="12">
        <f t="shared" si="17"/>
        <v>250.1</v>
      </c>
      <c r="M151" s="12">
        <f t="shared" si="14"/>
        <v>80.677419354838705</v>
      </c>
      <c r="N151" s="9"/>
    </row>
    <row r="152" spans="1:14" s="28" customFormat="1" x14ac:dyDescent="0.2">
      <c r="A152" s="72"/>
      <c r="B152" s="19" t="s">
        <v>96</v>
      </c>
      <c r="C152" s="62">
        <v>902</v>
      </c>
      <c r="D152" s="8" t="s">
        <v>4</v>
      </c>
      <c r="E152" s="8" t="s">
        <v>6</v>
      </c>
      <c r="F152" s="8" t="s">
        <v>112</v>
      </c>
      <c r="G152" s="63">
        <v>1</v>
      </c>
      <c r="H152" s="5" t="s">
        <v>557</v>
      </c>
      <c r="I152" s="5" t="s">
        <v>557</v>
      </c>
      <c r="J152" s="40" t="s">
        <v>557</v>
      </c>
      <c r="K152" s="12">
        <f t="shared" si="17"/>
        <v>310</v>
      </c>
      <c r="L152" s="12">
        <f t="shared" si="17"/>
        <v>250.1</v>
      </c>
      <c r="M152" s="12">
        <f t="shared" si="14"/>
        <v>80.677419354838705</v>
      </c>
      <c r="N152" s="9"/>
    </row>
    <row r="153" spans="1:14" s="28" customFormat="1" ht="31.5" x14ac:dyDescent="0.2">
      <c r="A153" s="72"/>
      <c r="B153" s="19" t="s">
        <v>13</v>
      </c>
      <c r="C153" s="62">
        <v>902</v>
      </c>
      <c r="D153" s="8" t="s">
        <v>4</v>
      </c>
      <c r="E153" s="8" t="s">
        <v>6</v>
      </c>
      <c r="F153" s="8" t="s">
        <v>112</v>
      </c>
      <c r="G153" s="63">
        <v>1</v>
      </c>
      <c r="H153" s="8" t="s">
        <v>97</v>
      </c>
      <c r="I153" s="8" t="s">
        <v>113</v>
      </c>
      <c r="J153" s="40" t="s">
        <v>557</v>
      </c>
      <c r="K153" s="12">
        <f t="shared" si="17"/>
        <v>310</v>
      </c>
      <c r="L153" s="12">
        <f t="shared" si="17"/>
        <v>250.1</v>
      </c>
      <c r="M153" s="12">
        <f t="shared" si="14"/>
        <v>80.677419354838705</v>
      </c>
      <c r="N153" s="9"/>
    </row>
    <row r="154" spans="1:14" s="28" customFormat="1" ht="31.5" x14ac:dyDescent="0.2">
      <c r="A154" s="72"/>
      <c r="B154" s="19" t="s">
        <v>164</v>
      </c>
      <c r="C154" s="62">
        <v>902</v>
      </c>
      <c r="D154" s="8" t="s">
        <v>4</v>
      </c>
      <c r="E154" s="8" t="s">
        <v>6</v>
      </c>
      <c r="F154" s="8" t="s">
        <v>112</v>
      </c>
      <c r="G154" s="63">
        <v>1</v>
      </c>
      <c r="H154" s="8" t="s">
        <v>97</v>
      </c>
      <c r="I154" s="8" t="s">
        <v>113</v>
      </c>
      <c r="J154" s="8" t="s">
        <v>57</v>
      </c>
      <c r="K154" s="12">
        <v>310</v>
      </c>
      <c r="L154" s="12">
        <v>250.1</v>
      </c>
      <c r="M154" s="12">
        <f t="shared" si="14"/>
        <v>80.677419354838705</v>
      </c>
      <c r="N154" s="9"/>
    </row>
    <row r="155" spans="1:14" s="28" customFormat="1" ht="31.5" x14ac:dyDescent="0.2">
      <c r="A155" s="72"/>
      <c r="B155" s="19" t="s">
        <v>14</v>
      </c>
      <c r="C155" s="62">
        <v>902</v>
      </c>
      <c r="D155" s="8" t="s">
        <v>5</v>
      </c>
      <c r="E155" s="40" t="s">
        <v>557</v>
      </c>
      <c r="F155" s="5" t="s">
        <v>557</v>
      </c>
      <c r="G155" s="40" t="s">
        <v>557</v>
      </c>
      <c r="H155" s="5" t="s">
        <v>557</v>
      </c>
      <c r="I155" s="5" t="s">
        <v>557</v>
      </c>
      <c r="J155" s="40" t="s">
        <v>557</v>
      </c>
      <c r="K155" s="12">
        <f>K156</f>
        <v>114.5</v>
      </c>
      <c r="L155" s="12">
        <f>L156</f>
        <v>114.5</v>
      </c>
      <c r="M155" s="12">
        <f t="shared" si="14"/>
        <v>100</v>
      </c>
      <c r="N155" s="9"/>
    </row>
    <row r="156" spans="1:14" s="28" customFormat="1" ht="33.75" customHeight="1" x14ac:dyDescent="0.2">
      <c r="A156" s="72"/>
      <c r="B156" s="19" t="s">
        <v>178</v>
      </c>
      <c r="C156" s="62">
        <v>902</v>
      </c>
      <c r="D156" s="8" t="s">
        <v>5</v>
      </c>
      <c r="E156" s="8" t="s">
        <v>10</v>
      </c>
      <c r="F156" s="5" t="s">
        <v>557</v>
      </c>
      <c r="G156" s="40" t="s">
        <v>557</v>
      </c>
      <c r="H156" s="5" t="s">
        <v>557</v>
      </c>
      <c r="I156" s="5" t="s">
        <v>557</v>
      </c>
      <c r="J156" s="40" t="s">
        <v>557</v>
      </c>
      <c r="K156" s="12">
        <f>K157</f>
        <v>114.5</v>
      </c>
      <c r="L156" s="12">
        <f>L157</f>
        <v>114.5</v>
      </c>
      <c r="M156" s="12">
        <f t="shared" si="14"/>
        <v>100</v>
      </c>
      <c r="N156" s="9"/>
    </row>
    <row r="157" spans="1:14" s="28" customFormat="1" ht="31.5" x14ac:dyDescent="0.2">
      <c r="A157" s="72"/>
      <c r="B157" s="41" t="s">
        <v>236</v>
      </c>
      <c r="C157" s="62">
        <v>902</v>
      </c>
      <c r="D157" s="8" t="s">
        <v>5</v>
      </c>
      <c r="E157" s="8" t="s">
        <v>10</v>
      </c>
      <c r="F157" s="8" t="s">
        <v>106</v>
      </c>
      <c r="G157" s="40" t="s">
        <v>557</v>
      </c>
      <c r="H157" s="5" t="s">
        <v>557</v>
      </c>
      <c r="I157" s="5" t="s">
        <v>557</v>
      </c>
      <c r="J157" s="40" t="s">
        <v>557</v>
      </c>
      <c r="K157" s="12">
        <f t="shared" ref="K157:L160" si="18">K158</f>
        <v>114.5</v>
      </c>
      <c r="L157" s="12">
        <f t="shared" si="18"/>
        <v>114.5</v>
      </c>
      <c r="M157" s="12">
        <f t="shared" si="14"/>
        <v>100</v>
      </c>
      <c r="N157" s="9"/>
    </row>
    <row r="158" spans="1:14" s="28" customFormat="1" ht="63" x14ac:dyDescent="0.2">
      <c r="A158" s="72"/>
      <c r="B158" s="41" t="s">
        <v>237</v>
      </c>
      <c r="C158" s="62">
        <v>902</v>
      </c>
      <c r="D158" s="8" t="s">
        <v>5</v>
      </c>
      <c r="E158" s="8" t="s">
        <v>10</v>
      </c>
      <c r="F158" s="8" t="s">
        <v>182</v>
      </c>
      <c r="G158" s="8" t="s">
        <v>156</v>
      </c>
      <c r="H158" s="5" t="s">
        <v>557</v>
      </c>
      <c r="I158" s="5" t="s">
        <v>557</v>
      </c>
      <c r="J158" s="40" t="s">
        <v>557</v>
      </c>
      <c r="K158" s="12">
        <f t="shared" si="18"/>
        <v>114.5</v>
      </c>
      <c r="L158" s="12">
        <f t="shared" si="18"/>
        <v>114.5</v>
      </c>
      <c r="M158" s="12">
        <f t="shared" si="14"/>
        <v>100</v>
      </c>
      <c r="N158" s="9"/>
    </row>
    <row r="159" spans="1:14" s="28" customFormat="1" ht="63" x14ac:dyDescent="0.2">
      <c r="A159" s="72"/>
      <c r="B159" s="41" t="s">
        <v>179</v>
      </c>
      <c r="C159" s="62">
        <v>902</v>
      </c>
      <c r="D159" s="8" t="s">
        <v>5</v>
      </c>
      <c r="E159" s="8" t="s">
        <v>10</v>
      </c>
      <c r="F159" s="8" t="s">
        <v>106</v>
      </c>
      <c r="G159" s="8" t="s">
        <v>156</v>
      </c>
      <c r="H159" s="8" t="s">
        <v>2</v>
      </c>
      <c r="I159" s="5" t="s">
        <v>557</v>
      </c>
      <c r="J159" s="40" t="s">
        <v>557</v>
      </c>
      <c r="K159" s="12">
        <f t="shared" si="18"/>
        <v>114.5</v>
      </c>
      <c r="L159" s="12">
        <f t="shared" si="18"/>
        <v>114.5</v>
      </c>
      <c r="M159" s="12">
        <f t="shared" si="14"/>
        <v>100</v>
      </c>
      <c r="N159" s="9"/>
    </row>
    <row r="160" spans="1:14" s="28" customFormat="1" ht="47.25" x14ac:dyDescent="0.2">
      <c r="A160" s="72"/>
      <c r="B160" s="41" t="s">
        <v>180</v>
      </c>
      <c r="C160" s="62">
        <v>902</v>
      </c>
      <c r="D160" s="8" t="s">
        <v>5</v>
      </c>
      <c r="E160" s="8" t="s">
        <v>10</v>
      </c>
      <c r="F160" s="8" t="s">
        <v>106</v>
      </c>
      <c r="G160" s="8" t="s">
        <v>156</v>
      </c>
      <c r="H160" s="8" t="s">
        <v>2</v>
      </c>
      <c r="I160" s="8" t="s">
        <v>183</v>
      </c>
      <c r="J160" s="40" t="s">
        <v>557</v>
      </c>
      <c r="K160" s="12">
        <f t="shared" si="18"/>
        <v>114.5</v>
      </c>
      <c r="L160" s="12">
        <f t="shared" si="18"/>
        <v>114.5</v>
      </c>
      <c r="M160" s="12">
        <f t="shared" si="14"/>
        <v>100</v>
      </c>
      <c r="N160" s="9"/>
    </row>
    <row r="161" spans="1:14" s="28" customFormat="1" ht="31.5" x14ac:dyDescent="0.2">
      <c r="A161" s="72"/>
      <c r="B161" s="19" t="s">
        <v>164</v>
      </c>
      <c r="C161" s="62">
        <v>902</v>
      </c>
      <c r="D161" s="8" t="s">
        <v>5</v>
      </c>
      <c r="E161" s="8" t="s">
        <v>10</v>
      </c>
      <c r="F161" s="8" t="s">
        <v>106</v>
      </c>
      <c r="G161" s="8" t="s">
        <v>156</v>
      </c>
      <c r="H161" s="8" t="s">
        <v>2</v>
      </c>
      <c r="I161" s="8" t="s">
        <v>183</v>
      </c>
      <c r="J161" s="61" t="s">
        <v>57</v>
      </c>
      <c r="K161" s="12">
        <f>110+50+300+60-300-105.5</f>
        <v>114.5</v>
      </c>
      <c r="L161" s="12">
        <f>110+50+300+60-300-105.5</f>
        <v>114.5</v>
      </c>
      <c r="M161" s="12">
        <f t="shared" si="14"/>
        <v>100</v>
      </c>
      <c r="N161" s="9"/>
    </row>
    <row r="162" spans="1:14" s="28" customFormat="1" x14ac:dyDescent="0.2">
      <c r="A162" s="72"/>
      <c r="B162" s="19" t="s">
        <v>15</v>
      </c>
      <c r="C162" s="62">
        <v>902</v>
      </c>
      <c r="D162" s="8" t="s">
        <v>6</v>
      </c>
      <c r="E162" s="40" t="s">
        <v>557</v>
      </c>
      <c r="F162" s="5" t="s">
        <v>557</v>
      </c>
      <c r="G162" s="40" t="s">
        <v>557</v>
      </c>
      <c r="H162" s="5" t="s">
        <v>557</v>
      </c>
      <c r="I162" s="5" t="s">
        <v>557</v>
      </c>
      <c r="J162" s="40" t="s">
        <v>557</v>
      </c>
      <c r="K162" s="12">
        <f>SUM(K163+K173)</f>
        <v>27970.000000000004</v>
      </c>
      <c r="L162" s="12">
        <f>SUM(L163+L173)</f>
        <v>15997.8</v>
      </c>
      <c r="M162" s="12">
        <f t="shared" si="14"/>
        <v>57.196281730425447</v>
      </c>
      <c r="N162" s="9"/>
    </row>
    <row r="163" spans="1:14" s="28" customFormat="1" x14ac:dyDescent="0.2">
      <c r="A163" s="72"/>
      <c r="B163" s="19" t="s">
        <v>16</v>
      </c>
      <c r="C163" s="62">
        <v>902</v>
      </c>
      <c r="D163" s="8" t="s">
        <v>6</v>
      </c>
      <c r="E163" s="8" t="s">
        <v>7</v>
      </c>
      <c r="F163" s="5" t="s">
        <v>557</v>
      </c>
      <c r="G163" s="40" t="s">
        <v>557</v>
      </c>
      <c r="H163" s="5" t="s">
        <v>557</v>
      </c>
      <c r="I163" s="5" t="s">
        <v>557</v>
      </c>
      <c r="J163" s="40" t="s">
        <v>557</v>
      </c>
      <c r="K163" s="12">
        <f t="shared" ref="K163:L163" si="19">SUM(K164)</f>
        <v>6012</v>
      </c>
      <c r="L163" s="12">
        <f t="shared" si="19"/>
        <v>6004.5</v>
      </c>
      <c r="M163" s="12">
        <f t="shared" si="14"/>
        <v>99.875249500998009</v>
      </c>
      <c r="N163" s="9"/>
    </row>
    <row r="164" spans="1:14" s="28" customFormat="1" ht="31.5" x14ac:dyDescent="0.2">
      <c r="A164" s="72"/>
      <c r="B164" s="41" t="s">
        <v>435</v>
      </c>
      <c r="C164" s="62">
        <v>902</v>
      </c>
      <c r="D164" s="8" t="s">
        <v>6</v>
      </c>
      <c r="E164" s="8" t="s">
        <v>7</v>
      </c>
      <c r="F164" s="8" t="s">
        <v>115</v>
      </c>
      <c r="G164" s="40" t="s">
        <v>557</v>
      </c>
      <c r="H164" s="5" t="s">
        <v>557</v>
      </c>
      <c r="I164" s="5" t="s">
        <v>557</v>
      </c>
      <c r="J164" s="40" t="s">
        <v>557</v>
      </c>
      <c r="K164" s="12">
        <f>SUM(K165)</f>
        <v>6012</v>
      </c>
      <c r="L164" s="12">
        <f>SUM(L165)</f>
        <v>6004.5</v>
      </c>
      <c r="M164" s="12">
        <f t="shared" si="14"/>
        <v>99.875249500998009</v>
      </c>
      <c r="N164" s="9"/>
    </row>
    <row r="165" spans="1:14" s="28" customFormat="1" ht="47.25" x14ac:dyDescent="0.2">
      <c r="A165" s="72"/>
      <c r="B165" s="41" t="s">
        <v>436</v>
      </c>
      <c r="C165" s="62">
        <v>902</v>
      </c>
      <c r="D165" s="8" t="s">
        <v>6</v>
      </c>
      <c r="E165" s="8" t="s">
        <v>7</v>
      </c>
      <c r="F165" s="8" t="s">
        <v>115</v>
      </c>
      <c r="G165" s="63">
        <v>6</v>
      </c>
      <c r="H165" s="5" t="s">
        <v>557</v>
      </c>
      <c r="I165" s="5" t="s">
        <v>557</v>
      </c>
      <c r="J165" s="40" t="s">
        <v>557</v>
      </c>
      <c r="K165" s="12">
        <f>SUM(K166+K169+K171)</f>
        <v>6012</v>
      </c>
      <c r="L165" s="12">
        <f>SUM(L166+L169+L171)</f>
        <v>6004.5</v>
      </c>
      <c r="M165" s="12">
        <f t="shared" si="14"/>
        <v>99.875249500998009</v>
      </c>
      <c r="N165" s="9"/>
    </row>
    <row r="166" spans="1:14" s="28" customFormat="1" ht="31.5" x14ac:dyDescent="0.2">
      <c r="A166" s="72"/>
      <c r="B166" s="41" t="s">
        <v>443</v>
      </c>
      <c r="C166" s="62">
        <v>902</v>
      </c>
      <c r="D166" s="8" t="s">
        <v>6</v>
      </c>
      <c r="E166" s="8" t="s">
        <v>7</v>
      </c>
      <c r="F166" s="8" t="s">
        <v>115</v>
      </c>
      <c r="G166" s="8" t="s">
        <v>434</v>
      </c>
      <c r="H166" s="8" t="s">
        <v>2</v>
      </c>
      <c r="I166" s="5" t="s">
        <v>557</v>
      </c>
      <c r="J166" s="40" t="s">
        <v>557</v>
      </c>
      <c r="K166" s="12">
        <f>K167</f>
        <v>782</v>
      </c>
      <c r="L166" s="12">
        <f>L167</f>
        <v>782</v>
      </c>
      <c r="M166" s="12">
        <f t="shared" si="14"/>
        <v>100</v>
      </c>
      <c r="N166" s="9"/>
    </row>
    <row r="167" spans="1:14" s="28" customFormat="1" ht="50.25" customHeight="1" x14ac:dyDescent="0.2">
      <c r="A167" s="72"/>
      <c r="B167" s="41" t="s">
        <v>437</v>
      </c>
      <c r="C167" s="62">
        <v>902</v>
      </c>
      <c r="D167" s="8" t="s">
        <v>6</v>
      </c>
      <c r="E167" s="8" t="s">
        <v>7</v>
      </c>
      <c r="F167" s="8" t="s">
        <v>115</v>
      </c>
      <c r="G167" s="8" t="s">
        <v>434</v>
      </c>
      <c r="H167" s="8" t="s">
        <v>2</v>
      </c>
      <c r="I167" s="8" t="s">
        <v>338</v>
      </c>
      <c r="J167" s="40" t="s">
        <v>557</v>
      </c>
      <c r="K167" s="12">
        <f>K168</f>
        <v>782</v>
      </c>
      <c r="L167" s="12">
        <f>L168</f>
        <v>782</v>
      </c>
      <c r="M167" s="12">
        <f t="shared" si="14"/>
        <v>100</v>
      </c>
      <c r="N167" s="9"/>
    </row>
    <row r="168" spans="1:14" s="28" customFormat="1" x14ac:dyDescent="0.2">
      <c r="A168" s="72"/>
      <c r="B168" s="19" t="s">
        <v>59</v>
      </c>
      <c r="C168" s="62">
        <v>902</v>
      </c>
      <c r="D168" s="8" t="s">
        <v>6</v>
      </c>
      <c r="E168" s="8" t="s">
        <v>7</v>
      </c>
      <c r="F168" s="8" t="s">
        <v>115</v>
      </c>
      <c r="G168" s="8" t="s">
        <v>434</v>
      </c>
      <c r="H168" s="8" t="s">
        <v>2</v>
      </c>
      <c r="I168" s="8" t="s">
        <v>338</v>
      </c>
      <c r="J168" s="61" t="s">
        <v>60</v>
      </c>
      <c r="K168" s="12">
        <v>782</v>
      </c>
      <c r="L168" s="12">
        <v>782</v>
      </c>
      <c r="M168" s="12">
        <f t="shared" si="14"/>
        <v>100</v>
      </c>
      <c r="N168" s="9"/>
    </row>
    <row r="169" spans="1:14" s="28" customFormat="1" ht="47.25" x14ac:dyDescent="0.2">
      <c r="A169" s="72"/>
      <c r="B169" s="43" t="s">
        <v>342</v>
      </c>
      <c r="C169" s="62">
        <v>902</v>
      </c>
      <c r="D169" s="8" t="s">
        <v>6</v>
      </c>
      <c r="E169" s="8" t="s">
        <v>7</v>
      </c>
      <c r="F169" s="8" t="s">
        <v>115</v>
      </c>
      <c r="G169" s="8" t="s">
        <v>434</v>
      </c>
      <c r="H169" s="8" t="s">
        <v>2</v>
      </c>
      <c r="I169" s="8" t="s">
        <v>105</v>
      </c>
      <c r="J169" s="40" t="s">
        <v>557</v>
      </c>
      <c r="K169" s="12">
        <f t="shared" ref="K169:L169" si="20">SUM(K170)</f>
        <v>30</v>
      </c>
      <c r="L169" s="12">
        <f t="shared" si="20"/>
        <v>30</v>
      </c>
      <c r="M169" s="12">
        <f t="shared" si="14"/>
        <v>100</v>
      </c>
      <c r="N169" s="9"/>
    </row>
    <row r="170" spans="1:14" s="28" customFormat="1" x14ac:dyDescent="0.2">
      <c r="A170" s="72"/>
      <c r="B170" s="19" t="s">
        <v>59</v>
      </c>
      <c r="C170" s="62">
        <v>902</v>
      </c>
      <c r="D170" s="8" t="s">
        <v>6</v>
      </c>
      <c r="E170" s="8" t="s">
        <v>7</v>
      </c>
      <c r="F170" s="8" t="s">
        <v>115</v>
      </c>
      <c r="G170" s="8" t="s">
        <v>434</v>
      </c>
      <c r="H170" s="8" t="s">
        <v>2</v>
      </c>
      <c r="I170" s="8" t="s">
        <v>105</v>
      </c>
      <c r="J170" s="8" t="s">
        <v>60</v>
      </c>
      <c r="K170" s="12">
        <f>1945.9-1915.9</f>
        <v>30</v>
      </c>
      <c r="L170" s="12">
        <f>1945.9-1915.9</f>
        <v>30</v>
      </c>
      <c r="M170" s="12">
        <f t="shared" si="14"/>
        <v>100</v>
      </c>
      <c r="N170" s="9"/>
    </row>
    <row r="171" spans="1:14" s="28" customFormat="1" ht="147" customHeight="1" x14ac:dyDescent="0.2">
      <c r="A171" s="72"/>
      <c r="B171" s="42" t="s">
        <v>426</v>
      </c>
      <c r="C171" s="62">
        <v>902</v>
      </c>
      <c r="D171" s="8" t="s">
        <v>6</v>
      </c>
      <c r="E171" s="8" t="s">
        <v>7</v>
      </c>
      <c r="F171" s="8" t="s">
        <v>115</v>
      </c>
      <c r="G171" s="8" t="s">
        <v>434</v>
      </c>
      <c r="H171" s="8" t="s">
        <v>2</v>
      </c>
      <c r="I171" s="8" t="s">
        <v>114</v>
      </c>
      <c r="J171" s="40" t="s">
        <v>557</v>
      </c>
      <c r="K171" s="12">
        <f t="shared" ref="K171:L171" si="21">SUM(K172)</f>
        <v>5200</v>
      </c>
      <c r="L171" s="12">
        <f t="shared" si="21"/>
        <v>5192.5</v>
      </c>
      <c r="M171" s="12">
        <f t="shared" si="14"/>
        <v>99.855769230769226</v>
      </c>
      <c r="N171" s="9"/>
    </row>
    <row r="172" spans="1:14" s="28" customFormat="1" ht="31.5" x14ac:dyDescent="0.2">
      <c r="A172" s="72"/>
      <c r="B172" s="19" t="s">
        <v>164</v>
      </c>
      <c r="C172" s="62">
        <v>902</v>
      </c>
      <c r="D172" s="8" t="s">
        <v>6</v>
      </c>
      <c r="E172" s="8" t="s">
        <v>7</v>
      </c>
      <c r="F172" s="8" t="s">
        <v>115</v>
      </c>
      <c r="G172" s="8" t="s">
        <v>434</v>
      </c>
      <c r="H172" s="8" t="s">
        <v>2</v>
      </c>
      <c r="I172" s="8" t="s">
        <v>114</v>
      </c>
      <c r="J172" s="8" t="s">
        <v>57</v>
      </c>
      <c r="K172" s="12">
        <v>5200</v>
      </c>
      <c r="L172" s="12">
        <v>5192.5</v>
      </c>
      <c r="M172" s="12">
        <f t="shared" si="14"/>
        <v>99.855769230769226</v>
      </c>
      <c r="N172" s="9"/>
    </row>
    <row r="173" spans="1:14" s="28" customFormat="1" ht="19.5" customHeight="1" x14ac:dyDescent="0.2">
      <c r="A173" s="72"/>
      <c r="B173" s="19" t="s">
        <v>87</v>
      </c>
      <c r="C173" s="62">
        <v>902</v>
      </c>
      <c r="D173" s="8" t="s">
        <v>6</v>
      </c>
      <c r="E173" s="8" t="s">
        <v>88</v>
      </c>
      <c r="F173" s="5" t="s">
        <v>557</v>
      </c>
      <c r="G173" s="40" t="s">
        <v>557</v>
      </c>
      <c r="H173" s="5" t="s">
        <v>557</v>
      </c>
      <c r="I173" s="5" t="s">
        <v>557</v>
      </c>
      <c r="J173" s="40" t="s">
        <v>557</v>
      </c>
      <c r="K173" s="12">
        <f>SUM(K174+K179+K184)</f>
        <v>21958.000000000004</v>
      </c>
      <c r="L173" s="12">
        <f>SUM(L174+L179+L184)</f>
        <v>9993.2999999999993</v>
      </c>
      <c r="M173" s="12">
        <f t="shared" si="14"/>
        <v>45.510975498679286</v>
      </c>
      <c r="N173" s="9"/>
    </row>
    <row r="174" spans="1:14" s="28" customFormat="1" ht="46.5" customHeight="1" x14ac:dyDescent="0.2">
      <c r="A174" s="72"/>
      <c r="B174" s="41" t="s">
        <v>231</v>
      </c>
      <c r="C174" s="62">
        <v>902</v>
      </c>
      <c r="D174" s="8" t="s">
        <v>6</v>
      </c>
      <c r="E174" s="8" t="s">
        <v>88</v>
      </c>
      <c r="F174" s="8" t="s">
        <v>8</v>
      </c>
      <c r="G174" s="40" t="s">
        <v>557</v>
      </c>
      <c r="H174" s="5" t="s">
        <v>557</v>
      </c>
      <c r="I174" s="5" t="s">
        <v>557</v>
      </c>
      <c r="J174" s="40" t="s">
        <v>557</v>
      </c>
      <c r="K174" s="12">
        <f t="shared" ref="K174:L177" si="22">SUM(K175)</f>
        <v>9948.0000000000018</v>
      </c>
      <c r="L174" s="12">
        <f t="shared" si="22"/>
        <v>7415.3</v>
      </c>
      <c r="M174" s="12">
        <f t="shared" si="14"/>
        <v>74.540611178126255</v>
      </c>
      <c r="N174" s="9"/>
    </row>
    <row r="175" spans="1:14" s="28" customFormat="1" ht="63" x14ac:dyDescent="0.2">
      <c r="A175" s="72"/>
      <c r="B175" s="41" t="s">
        <v>232</v>
      </c>
      <c r="C175" s="62">
        <v>902</v>
      </c>
      <c r="D175" s="8" t="s">
        <v>6</v>
      </c>
      <c r="E175" s="8" t="s">
        <v>88</v>
      </c>
      <c r="F175" s="8" t="s">
        <v>8</v>
      </c>
      <c r="G175" s="8" t="s">
        <v>116</v>
      </c>
      <c r="H175" s="5" t="s">
        <v>557</v>
      </c>
      <c r="I175" s="5" t="s">
        <v>557</v>
      </c>
      <c r="J175" s="40" t="s">
        <v>557</v>
      </c>
      <c r="K175" s="12">
        <f t="shared" si="22"/>
        <v>9948.0000000000018</v>
      </c>
      <c r="L175" s="12">
        <f t="shared" si="22"/>
        <v>7415.3</v>
      </c>
      <c r="M175" s="12">
        <f t="shared" si="14"/>
        <v>74.540611178126255</v>
      </c>
      <c r="N175" s="9"/>
    </row>
    <row r="176" spans="1:14" s="28" customFormat="1" ht="33.75" customHeight="1" x14ac:dyDescent="0.2">
      <c r="A176" s="72"/>
      <c r="B176" s="41" t="s">
        <v>117</v>
      </c>
      <c r="C176" s="62">
        <v>902</v>
      </c>
      <c r="D176" s="8" t="s">
        <v>6</v>
      </c>
      <c r="E176" s="8" t="s">
        <v>88</v>
      </c>
      <c r="F176" s="8" t="s">
        <v>8</v>
      </c>
      <c r="G176" s="8" t="s">
        <v>116</v>
      </c>
      <c r="H176" s="8" t="s">
        <v>4</v>
      </c>
      <c r="I176" s="5" t="s">
        <v>557</v>
      </c>
      <c r="J176" s="40" t="s">
        <v>557</v>
      </c>
      <c r="K176" s="12">
        <f t="shared" si="22"/>
        <v>9948.0000000000018</v>
      </c>
      <c r="L176" s="12">
        <f t="shared" si="22"/>
        <v>7415.3</v>
      </c>
      <c r="M176" s="12">
        <f t="shared" si="14"/>
        <v>74.540611178126255</v>
      </c>
      <c r="N176" s="9"/>
    </row>
    <row r="177" spans="1:14" s="28" customFormat="1" ht="47.25" x14ac:dyDescent="0.2">
      <c r="A177" s="72"/>
      <c r="B177" s="45" t="s">
        <v>381</v>
      </c>
      <c r="C177" s="62">
        <v>902</v>
      </c>
      <c r="D177" s="8" t="s">
        <v>6</v>
      </c>
      <c r="E177" s="8" t="s">
        <v>88</v>
      </c>
      <c r="F177" s="8" t="s">
        <v>8</v>
      </c>
      <c r="G177" s="8" t="s">
        <v>116</v>
      </c>
      <c r="H177" s="8" t="s">
        <v>4</v>
      </c>
      <c r="I177" s="8" t="s">
        <v>380</v>
      </c>
      <c r="J177" s="40" t="s">
        <v>557</v>
      </c>
      <c r="K177" s="12">
        <f t="shared" si="22"/>
        <v>9948.0000000000018</v>
      </c>
      <c r="L177" s="12">
        <f t="shared" si="22"/>
        <v>7415.3</v>
      </c>
      <c r="M177" s="12">
        <f t="shared" si="14"/>
        <v>74.540611178126255</v>
      </c>
      <c r="N177" s="9"/>
    </row>
    <row r="178" spans="1:14" s="28" customFormat="1" ht="31.5" x14ac:dyDescent="0.2">
      <c r="A178" s="72"/>
      <c r="B178" s="19" t="s">
        <v>164</v>
      </c>
      <c r="C178" s="62">
        <v>902</v>
      </c>
      <c r="D178" s="8" t="s">
        <v>6</v>
      </c>
      <c r="E178" s="8" t="s">
        <v>88</v>
      </c>
      <c r="F178" s="8" t="s">
        <v>8</v>
      </c>
      <c r="G178" s="8" t="s">
        <v>116</v>
      </c>
      <c r="H178" s="8" t="s">
        <v>4</v>
      </c>
      <c r="I178" s="8" t="s">
        <v>380</v>
      </c>
      <c r="J178" s="8" t="s">
        <v>57</v>
      </c>
      <c r="K178" s="12">
        <f>3294.8+285.3+425+248.2+118.5+659+5008.8+200+10.8+22.5+442.5+114.2+6.2+176.1+177+108.6+600-2100+150.5</f>
        <v>9948.0000000000018</v>
      </c>
      <c r="L178" s="12">
        <v>7415.3</v>
      </c>
      <c r="M178" s="12">
        <f t="shared" si="14"/>
        <v>74.540611178126255</v>
      </c>
      <c r="N178" s="9"/>
    </row>
    <row r="179" spans="1:14" s="28" customFormat="1" ht="31.5" x14ac:dyDescent="0.2">
      <c r="A179" s="72"/>
      <c r="B179" s="41" t="s">
        <v>255</v>
      </c>
      <c r="C179" s="62">
        <v>902</v>
      </c>
      <c r="D179" s="8" t="s">
        <v>6</v>
      </c>
      <c r="E179" s="8" t="s">
        <v>88</v>
      </c>
      <c r="F179" s="8" t="s">
        <v>118</v>
      </c>
      <c r="G179" s="40" t="s">
        <v>557</v>
      </c>
      <c r="H179" s="5" t="s">
        <v>557</v>
      </c>
      <c r="I179" s="5" t="s">
        <v>557</v>
      </c>
      <c r="J179" s="40" t="s">
        <v>557</v>
      </c>
      <c r="K179" s="12">
        <f t="shared" ref="K179:L181" si="23">SUM(K180)</f>
        <v>10107.200000000001</v>
      </c>
      <c r="L179" s="12">
        <f t="shared" si="23"/>
        <v>683.2</v>
      </c>
      <c r="M179" s="12">
        <f t="shared" si="14"/>
        <v>6.7595377552635743</v>
      </c>
      <c r="N179" s="9"/>
    </row>
    <row r="180" spans="1:14" s="28" customFormat="1" x14ac:dyDescent="0.2">
      <c r="A180" s="72"/>
      <c r="B180" s="19" t="s">
        <v>448</v>
      </c>
      <c r="C180" s="62">
        <v>902</v>
      </c>
      <c r="D180" s="8" t="s">
        <v>6</v>
      </c>
      <c r="E180" s="8" t="s">
        <v>88</v>
      </c>
      <c r="F180" s="8" t="s">
        <v>118</v>
      </c>
      <c r="G180" s="8" t="s">
        <v>123</v>
      </c>
      <c r="H180" s="5" t="s">
        <v>557</v>
      </c>
      <c r="I180" s="5" t="s">
        <v>557</v>
      </c>
      <c r="J180" s="40" t="s">
        <v>557</v>
      </c>
      <c r="K180" s="12">
        <f t="shared" si="23"/>
        <v>10107.200000000001</v>
      </c>
      <c r="L180" s="12">
        <f t="shared" si="23"/>
        <v>683.2</v>
      </c>
      <c r="M180" s="12">
        <f t="shared" si="14"/>
        <v>6.7595377552635743</v>
      </c>
      <c r="N180" s="9"/>
    </row>
    <row r="181" spans="1:14" s="28" customFormat="1" ht="78.75" x14ac:dyDescent="0.2">
      <c r="A181" s="72"/>
      <c r="B181" s="19" t="s">
        <v>480</v>
      </c>
      <c r="C181" s="62">
        <v>902</v>
      </c>
      <c r="D181" s="8" t="s">
        <v>6</v>
      </c>
      <c r="E181" s="8" t="s">
        <v>88</v>
      </c>
      <c r="F181" s="8" t="s">
        <v>118</v>
      </c>
      <c r="G181" s="8" t="s">
        <v>123</v>
      </c>
      <c r="H181" s="8" t="s">
        <v>2</v>
      </c>
      <c r="I181" s="5" t="s">
        <v>557</v>
      </c>
      <c r="J181" s="40" t="s">
        <v>557</v>
      </c>
      <c r="K181" s="12">
        <f t="shared" si="23"/>
        <v>10107.200000000001</v>
      </c>
      <c r="L181" s="12">
        <f t="shared" si="23"/>
        <v>683.2</v>
      </c>
      <c r="M181" s="12">
        <f t="shared" si="14"/>
        <v>6.7595377552635743</v>
      </c>
      <c r="N181" s="9"/>
    </row>
    <row r="182" spans="1:14" s="28" customFormat="1" ht="63" x14ac:dyDescent="0.2">
      <c r="A182" s="72"/>
      <c r="B182" s="19" t="s">
        <v>478</v>
      </c>
      <c r="C182" s="62">
        <v>902</v>
      </c>
      <c r="D182" s="8" t="s">
        <v>6</v>
      </c>
      <c r="E182" s="8" t="s">
        <v>88</v>
      </c>
      <c r="F182" s="8" t="s">
        <v>118</v>
      </c>
      <c r="G182" s="8" t="s">
        <v>123</v>
      </c>
      <c r="H182" s="8" t="s">
        <v>2</v>
      </c>
      <c r="I182" s="8" t="s">
        <v>479</v>
      </c>
      <c r="J182" s="40" t="s">
        <v>557</v>
      </c>
      <c r="K182" s="12">
        <f>K183</f>
        <v>10107.200000000001</v>
      </c>
      <c r="L182" s="12">
        <f>L183</f>
        <v>683.2</v>
      </c>
      <c r="M182" s="12">
        <f t="shared" si="14"/>
        <v>6.7595377552635743</v>
      </c>
      <c r="N182" s="9"/>
    </row>
    <row r="183" spans="1:14" s="28" customFormat="1" ht="31.5" x14ac:dyDescent="0.2">
      <c r="A183" s="72"/>
      <c r="B183" s="19" t="s">
        <v>164</v>
      </c>
      <c r="C183" s="62">
        <v>902</v>
      </c>
      <c r="D183" s="8" t="s">
        <v>6</v>
      </c>
      <c r="E183" s="8" t="s">
        <v>88</v>
      </c>
      <c r="F183" s="8" t="s">
        <v>118</v>
      </c>
      <c r="G183" s="8" t="s">
        <v>123</v>
      </c>
      <c r="H183" s="8" t="s">
        <v>2</v>
      </c>
      <c r="I183" s="8" t="s">
        <v>479</v>
      </c>
      <c r="J183" s="61" t="s">
        <v>57</v>
      </c>
      <c r="K183" s="12">
        <f>6768+432+2907.2</f>
        <v>10107.200000000001</v>
      </c>
      <c r="L183" s="12">
        <v>683.2</v>
      </c>
      <c r="M183" s="12">
        <f t="shared" si="14"/>
        <v>6.7595377552635743</v>
      </c>
      <c r="N183" s="9"/>
    </row>
    <row r="184" spans="1:14" s="28" customFormat="1" ht="31.5" x14ac:dyDescent="0.2">
      <c r="A184" s="72"/>
      <c r="B184" s="41" t="s">
        <v>238</v>
      </c>
      <c r="C184" s="62">
        <v>902</v>
      </c>
      <c r="D184" s="61" t="s">
        <v>6</v>
      </c>
      <c r="E184" s="61" t="s">
        <v>88</v>
      </c>
      <c r="F184" s="61" t="s">
        <v>115</v>
      </c>
      <c r="G184" s="40" t="s">
        <v>557</v>
      </c>
      <c r="H184" s="5" t="s">
        <v>557</v>
      </c>
      <c r="I184" s="5" t="s">
        <v>557</v>
      </c>
      <c r="J184" s="40" t="s">
        <v>557</v>
      </c>
      <c r="K184" s="12">
        <f>SUM(K185+K189)</f>
        <v>1902.8</v>
      </c>
      <c r="L184" s="12">
        <f>SUM(L185+L189)</f>
        <v>1894.8</v>
      </c>
      <c r="M184" s="12">
        <f t="shared" si="14"/>
        <v>99.579566953962583</v>
      </c>
      <c r="N184" s="9"/>
    </row>
    <row r="185" spans="1:14" s="28" customFormat="1" ht="47.25" x14ac:dyDescent="0.2">
      <c r="A185" s="72"/>
      <c r="B185" s="41" t="s">
        <v>239</v>
      </c>
      <c r="C185" s="62">
        <v>902</v>
      </c>
      <c r="D185" s="61" t="s">
        <v>6</v>
      </c>
      <c r="E185" s="61" t="s">
        <v>88</v>
      </c>
      <c r="F185" s="61" t="s">
        <v>115</v>
      </c>
      <c r="G185" s="62">
        <v>1</v>
      </c>
      <c r="H185" s="61" t="s">
        <v>97</v>
      </c>
      <c r="I185" s="5" t="s">
        <v>557</v>
      </c>
      <c r="J185" s="40" t="s">
        <v>557</v>
      </c>
      <c r="K185" s="12">
        <f t="shared" ref="K185:L186" si="24">SUM(K186)</f>
        <v>1077.8</v>
      </c>
      <c r="L185" s="12">
        <f t="shared" si="24"/>
        <v>1077.8</v>
      </c>
      <c r="M185" s="12">
        <f t="shared" si="14"/>
        <v>100</v>
      </c>
      <c r="N185" s="9"/>
    </row>
    <row r="186" spans="1:14" s="28" customFormat="1" ht="63" x14ac:dyDescent="0.2">
      <c r="A186" s="72"/>
      <c r="B186" s="41" t="s">
        <v>120</v>
      </c>
      <c r="C186" s="62">
        <v>902</v>
      </c>
      <c r="D186" s="61" t="s">
        <v>6</v>
      </c>
      <c r="E186" s="61" t="s">
        <v>88</v>
      </c>
      <c r="F186" s="61" t="s">
        <v>115</v>
      </c>
      <c r="G186" s="62">
        <v>1</v>
      </c>
      <c r="H186" s="61" t="s">
        <v>2</v>
      </c>
      <c r="I186" s="5" t="s">
        <v>557</v>
      </c>
      <c r="J186" s="40" t="s">
        <v>557</v>
      </c>
      <c r="K186" s="12">
        <f t="shared" si="24"/>
        <v>1077.8</v>
      </c>
      <c r="L186" s="12">
        <f t="shared" si="24"/>
        <v>1077.8</v>
      </c>
      <c r="M186" s="12">
        <f t="shared" si="14"/>
        <v>100</v>
      </c>
      <c r="N186" s="9"/>
    </row>
    <row r="187" spans="1:14" s="28" customFormat="1" ht="78.75" x14ac:dyDescent="0.2">
      <c r="A187" s="72"/>
      <c r="B187" s="41" t="s">
        <v>240</v>
      </c>
      <c r="C187" s="62">
        <v>902</v>
      </c>
      <c r="D187" s="61" t="s">
        <v>6</v>
      </c>
      <c r="E187" s="61" t="s">
        <v>88</v>
      </c>
      <c r="F187" s="61" t="s">
        <v>115</v>
      </c>
      <c r="G187" s="62">
        <v>1</v>
      </c>
      <c r="H187" s="61" t="s">
        <v>2</v>
      </c>
      <c r="I187" s="61" t="s">
        <v>121</v>
      </c>
      <c r="J187" s="40" t="s">
        <v>557</v>
      </c>
      <c r="K187" s="12">
        <f>K188</f>
        <v>1077.8</v>
      </c>
      <c r="L187" s="12">
        <f>L188</f>
        <v>1077.8</v>
      </c>
      <c r="M187" s="12">
        <f t="shared" si="14"/>
        <v>100</v>
      </c>
      <c r="N187" s="9"/>
    </row>
    <row r="188" spans="1:14" s="28" customFormat="1" ht="31.5" x14ac:dyDescent="0.2">
      <c r="A188" s="72"/>
      <c r="B188" s="19" t="s">
        <v>164</v>
      </c>
      <c r="C188" s="62">
        <v>902</v>
      </c>
      <c r="D188" s="61" t="s">
        <v>6</v>
      </c>
      <c r="E188" s="61" t="s">
        <v>88</v>
      </c>
      <c r="F188" s="61" t="s">
        <v>115</v>
      </c>
      <c r="G188" s="62">
        <v>1</v>
      </c>
      <c r="H188" s="61" t="s">
        <v>2</v>
      </c>
      <c r="I188" s="61" t="s">
        <v>121</v>
      </c>
      <c r="J188" s="61" t="s">
        <v>57</v>
      </c>
      <c r="K188" s="12">
        <v>1077.8</v>
      </c>
      <c r="L188" s="12">
        <v>1077.8</v>
      </c>
      <c r="M188" s="12">
        <f t="shared" si="14"/>
        <v>100</v>
      </c>
      <c r="N188" s="9"/>
    </row>
    <row r="189" spans="1:14" s="28" customFormat="1" ht="48" customHeight="1" x14ac:dyDescent="0.2">
      <c r="A189" s="72"/>
      <c r="B189" s="19" t="s">
        <v>357</v>
      </c>
      <c r="C189" s="62">
        <v>902</v>
      </c>
      <c r="D189" s="61" t="s">
        <v>6</v>
      </c>
      <c r="E189" s="61" t="s">
        <v>88</v>
      </c>
      <c r="F189" s="8" t="s">
        <v>115</v>
      </c>
      <c r="G189" s="8" t="s">
        <v>189</v>
      </c>
      <c r="H189" s="5" t="s">
        <v>557</v>
      </c>
      <c r="I189" s="5" t="s">
        <v>557</v>
      </c>
      <c r="J189" s="40" t="s">
        <v>557</v>
      </c>
      <c r="K189" s="12">
        <f t="shared" ref="K189:L191" si="25">K190</f>
        <v>825</v>
      </c>
      <c r="L189" s="12">
        <f t="shared" si="25"/>
        <v>817</v>
      </c>
      <c r="M189" s="12">
        <f t="shared" si="14"/>
        <v>99.030303030303031</v>
      </c>
      <c r="N189" s="9"/>
    </row>
    <row r="190" spans="1:14" s="28" customFormat="1" ht="47.25" x14ac:dyDescent="0.2">
      <c r="A190" s="72"/>
      <c r="B190" s="19" t="s">
        <v>337</v>
      </c>
      <c r="C190" s="62">
        <v>902</v>
      </c>
      <c r="D190" s="61" t="s">
        <v>6</v>
      </c>
      <c r="E190" s="61" t="s">
        <v>88</v>
      </c>
      <c r="F190" s="8" t="s">
        <v>115</v>
      </c>
      <c r="G190" s="8" t="s">
        <v>189</v>
      </c>
      <c r="H190" s="8" t="s">
        <v>2</v>
      </c>
      <c r="I190" s="5" t="s">
        <v>557</v>
      </c>
      <c r="J190" s="40" t="s">
        <v>557</v>
      </c>
      <c r="K190" s="12">
        <f t="shared" si="25"/>
        <v>825</v>
      </c>
      <c r="L190" s="12">
        <f t="shared" si="25"/>
        <v>817</v>
      </c>
      <c r="M190" s="12">
        <f t="shared" si="14"/>
        <v>99.030303030303031</v>
      </c>
      <c r="N190" s="9"/>
    </row>
    <row r="191" spans="1:14" s="28" customFormat="1" ht="64.5" customHeight="1" x14ac:dyDescent="0.2">
      <c r="A191" s="72"/>
      <c r="B191" s="19" t="s">
        <v>358</v>
      </c>
      <c r="C191" s="62">
        <v>902</v>
      </c>
      <c r="D191" s="61" t="s">
        <v>6</v>
      </c>
      <c r="E191" s="61" t="s">
        <v>88</v>
      </c>
      <c r="F191" s="8" t="s">
        <v>115</v>
      </c>
      <c r="G191" s="8" t="s">
        <v>189</v>
      </c>
      <c r="H191" s="8" t="s">
        <v>2</v>
      </c>
      <c r="I191" s="8" t="s">
        <v>336</v>
      </c>
      <c r="J191" s="40" t="s">
        <v>557</v>
      </c>
      <c r="K191" s="12">
        <f t="shared" si="25"/>
        <v>825</v>
      </c>
      <c r="L191" s="12">
        <f t="shared" si="25"/>
        <v>817</v>
      </c>
      <c r="M191" s="12">
        <f t="shared" si="14"/>
        <v>99.030303030303031</v>
      </c>
      <c r="N191" s="9"/>
    </row>
    <row r="192" spans="1:14" s="28" customFormat="1" ht="31.5" x14ac:dyDescent="0.2">
      <c r="A192" s="72"/>
      <c r="B192" s="19" t="s">
        <v>164</v>
      </c>
      <c r="C192" s="62">
        <v>902</v>
      </c>
      <c r="D192" s="61" t="s">
        <v>6</v>
      </c>
      <c r="E192" s="61" t="s">
        <v>88</v>
      </c>
      <c r="F192" s="8" t="s">
        <v>115</v>
      </c>
      <c r="G192" s="8" t="s">
        <v>189</v>
      </c>
      <c r="H192" s="8" t="s">
        <v>2</v>
      </c>
      <c r="I192" s="8" t="s">
        <v>336</v>
      </c>
      <c r="J192" s="61" t="s">
        <v>57</v>
      </c>
      <c r="K192" s="12">
        <f>841-16</f>
        <v>825</v>
      </c>
      <c r="L192" s="12">
        <v>817</v>
      </c>
      <c r="M192" s="12">
        <f t="shared" si="14"/>
        <v>99.030303030303031</v>
      </c>
      <c r="N192" s="9"/>
    </row>
    <row r="193" spans="1:14" s="28" customFormat="1" x14ac:dyDescent="0.2">
      <c r="A193" s="72"/>
      <c r="B193" s="19" t="s">
        <v>18</v>
      </c>
      <c r="C193" s="62">
        <v>902</v>
      </c>
      <c r="D193" s="61" t="s">
        <v>8</v>
      </c>
      <c r="E193" s="40" t="s">
        <v>557</v>
      </c>
      <c r="F193" s="5" t="s">
        <v>557</v>
      </c>
      <c r="G193" s="40" t="s">
        <v>557</v>
      </c>
      <c r="H193" s="5" t="s">
        <v>557</v>
      </c>
      <c r="I193" s="5" t="s">
        <v>557</v>
      </c>
      <c r="J193" s="40" t="s">
        <v>557</v>
      </c>
      <c r="K193" s="12">
        <f t="shared" ref="K193:L198" si="26">K194</f>
        <v>60.5</v>
      </c>
      <c r="L193" s="12">
        <f t="shared" si="26"/>
        <v>60.5</v>
      </c>
      <c r="M193" s="12">
        <f t="shared" si="14"/>
        <v>100</v>
      </c>
      <c r="N193" s="9"/>
    </row>
    <row r="194" spans="1:14" s="28" customFormat="1" ht="31.5" x14ac:dyDescent="0.2">
      <c r="A194" s="72"/>
      <c r="B194" s="19" t="s">
        <v>375</v>
      </c>
      <c r="C194" s="62">
        <v>902</v>
      </c>
      <c r="D194" s="61" t="s">
        <v>8</v>
      </c>
      <c r="E194" s="61" t="s">
        <v>7</v>
      </c>
      <c r="F194" s="5" t="s">
        <v>557</v>
      </c>
      <c r="G194" s="40" t="s">
        <v>557</v>
      </c>
      <c r="H194" s="5" t="s">
        <v>557</v>
      </c>
      <c r="I194" s="5" t="s">
        <v>557</v>
      </c>
      <c r="J194" s="40" t="s">
        <v>557</v>
      </c>
      <c r="K194" s="12">
        <f t="shared" si="26"/>
        <v>60.5</v>
      </c>
      <c r="L194" s="12">
        <f t="shared" si="26"/>
        <v>60.5</v>
      </c>
      <c r="M194" s="12">
        <f t="shared" si="14"/>
        <v>100</v>
      </c>
      <c r="N194" s="9"/>
    </row>
    <row r="195" spans="1:14" s="28" customFormat="1" ht="48" customHeight="1" x14ac:dyDescent="0.2">
      <c r="A195" s="72"/>
      <c r="B195" s="19" t="s">
        <v>231</v>
      </c>
      <c r="C195" s="62">
        <v>902</v>
      </c>
      <c r="D195" s="61" t="s">
        <v>8</v>
      </c>
      <c r="E195" s="61" t="s">
        <v>7</v>
      </c>
      <c r="F195" s="8" t="s">
        <v>8</v>
      </c>
      <c r="G195" s="40" t="s">
        <v>557</v>
      </c>
      <c r="H195" s="5" t="s">
        <v>557</v>
      </c>
      <c r="I195" s="5" t="s">
        <v>557</v>
      </c>
      <c r="J195" s="40" t="s">
        <v>557</v>
      </c>
      <c r="K195" s="12">
        <f t="shared" si="26"/>
        <v>60.5</v>
      </c>
      <c r="L195" s="12">
        <f t="shared" si="26"/>
        <v>60.5</v>
      </c>
      <c r="M195" s="12">
        <f t="shared" si="14"/>
        <v>100</v>
      </c>
      <c r="N195" s="9"/>
    </row>
    <row r="196" spans="1:14" s="28" customFormat="1" ht="63" x14ac:dyDescent="0.2">
      <c r="A196" s="72"/>
      <c r="B196" s="19" t="s">
        <v>232</v>
      </c>
      <c r="C196" s="62">
        <v>902</v>
      </c>
      <c r="D196" s="61" t="s">
        <v>8</v>
      </c>
      <c r="E196" s="61" t="s">
        <v>7</v>
      </c>
      <c r="F196" s="8" t="s">
        <v>8</v>
      </c>
      <c r="G196" s="8" t="s">
        <v>116</v>
      </c>
      <c r="H196" s="5" t="s">
        <v>557</v>
      </c>
      <c r="I196" s="5" t="s">
        <v>557</v>
      </c>
      <c r="J196" s="40" t="s">
        <v>557</v>
      </c>
      <c r="K196" s="12">
        <f t="shared" si="26"/>
        <v>60.5</v>
      </c>
      <c r="L196" s="12">
        <f t="shared" si="26"/>
        <v>60.5</v>
      </c>
      <c r="M196" s="12">
        <f t="shared" si="14"/>
        <v>100</v>
      </c>
      <c r="N196" s="9"/>
    </row>
    <row r="197" spans="1:14" s="28" customFormat="1" ht="33" customHeight="1" x14ac:dyDescent="0.2">
      <c r="A197" s="72"/>
      <c r="B197" s="19" t="s">
        <v>117</v>
      </c>
      <c r="C197" s="62">
        <v>902</v>
      </c>
      <c r="D197" s="61" t="s">
        <v>8</v>
      </c>
      <c r="E197" s="61" t="s">
        <v>7</v>
      </c>
      <c r="F197" s="8" t="s">
        <v>8</v>
      </c>
      <c r="G197" s="8" t="s">
        <v>116</v>
      </c>
      <c r="H197" s="8" t="s">
        <v>4</v>
      </c>
      <c r="I197" s="5" t="s">
        <v>557</v>
      </c>
      <c r="J197" s="40" t="s">
        <v>557</v>
      </c>
      <c r="K197" s="12">
        <f t="shared" si="26"/>
        <v>60.5</v>
      </c>
      <c r="L197" s="12">
        <f t="shared" si="26"/>
        <v>60.5</v>
      </c>
      <c r="M197" s="12">
        <f t="shared" si="14"/>
        <v>100</v>
      </c>
      <c r="N197" s="9"/>
    </row>
    <row r="198" spans="1:14" s="28" customFormat="1" ht="31.5" x14ac:dyDescent="0.2">
      <c r="A198" s="72"/>
      <c r="B198" s="19" t="s">
        <v>377</v>
      </c>
      <c r="C198" s="62">
        <v>902</v>
      </c>
      <c r="D198" s="61" t="s">
        <v>8</v>
      </c>
      <c r="E198" s="61" t="s">
        <v>7</v>
      </c>
      <c r="F198" s="8" t="s">
        <v>8</v>
      </c>
      <c r="G198" s="8" t="s">
        <v>116</v>
      </c>
      <c r="H198" s="8" t="s">
        <v>4</v>
      </c>
      <c r="I198" s="8" t="s">
        <v>376</v>
      </c>
      <c r="J198" s="40" t="s">
        <v>557</v>
      </c>
      <c r="K198" s="12">
        <f t="shared" si="26"/>
        <v>60.5</v>
      </c>
      <c r="L198" s="12">
        <f t="shared" si="26"/>
        <v>60.5</v>
      </c>
      <c r="M198" s="12">
        <f t="shared" si="14"/>
        <v>100</v>
      </c>
      <c r="N198" s="9"/>
    </row>
    <row r="199" spans="1:14" s="28" customFormat="1" ht="31.5" x14ac:dyDescent="0.2">
      <c r="A199" s="72"/>
      <c r="B199" s="19" t="s">
        <v>164</v>
      </c>
      <c r="C199" s="62">
        <v>902</v>
      </c>
      <c r="D199" s="61" t="s">
        <v>8</v>
      </c>
      <c r="E199" s="61" t="s">
        <v>7</v>
      </c>
      <c r="F199" s="8" t="s">
        <v>8</v>
      </c>
      <c r="G199" s="8" t="s">
        <v>116</v>
      </c>
      <c r="H199" s="8" t="s">
        <v>4</v>
      </c>
      <c r="I199" s="8" t="s">
        <v>376</v>
      </c>
      <c r="J199" s="61" t="s">
        <v>57</v>
      </c>
      <c r="K199" s="12">
        <f>71.1+109.5-62.1-58</f>
        <v>60.5</v>
      </c>
      <c r="L199" s="12">
        <f>71.1+109.5-62.1-58</f>
        <v>60.5</v>
      </c>
      <c r="M199" s="12">
        <f t="shared" si="14"/>
        <v>100</v>
      </c>
      <c r="N199" s="9"/>
    </row>
    <row r="200" spans="1:14" s="28" customFormat="1" x14ac:dyDescent="0.2">
      <c r="A200" s="72"/>
      <c r="B200" s="19" t="s">
        <v>89</v>
      </c>
      <c r="C200" s="62">
        <v>902</v>
      </c>
      <c r="D200" s="8" t="s">
        <v>17</v>
      </c>
      <c r="E200" s="40" t="s">
        <v>557</v>
      </c>
      <c r="F200" s="5" t="s">
        <v>557</v>
      </c>
      <c r="G200" s="40" t="s">
        <v>557</v>
      </c>
      <c r="H200" s="5" t="s">
        <v>557</v>
      </c>
      <c r="I200" s="5" t="s">
        <v>557</v>
      </c>
      <c r="J200" s="40" t="s">
        <v>557</v>
      </c>
      <c r="K200" s="12">
        <f>SUM(K201)</f>
        <v>12761.7</v>
      </c>
      <c r="L200" s="12">
        <f>SUM(L201)</f>
        <v>10251.200000000001</v>
      </c>
      <c r="M200" s="12">
        <f t="shared" ref="M200:M263" si="27">SUM(L200/K200*100)</f>
        <v>80.327856006644879</v>
      </c>
      <c r="N200" s="9"/>
    </row>
    <row r="201" spans="1:14" s="28" customFormat="1" x14ac:dyDescent="0.2">
      <c r="A201" s="72"/>
      <c r="B201" s="46" t="s">
        <v>49</v>
      </c>
      <c r="C201" s="62">
        <v>902</v>
      </c>
      <c r="D201" s="8" t="s">
        <v>90</v>
      </c>
      <c r="E201" s="8" t="s">
        <v>6</v>
      </c>
      <c r="F201" s="5" t="s">
        <v>557</v>
      </c>
      <c r="G201" s="40" t="s">
        <v>557</v>
      </c>
      <c r="H201" s="5" t="s">
        <v>557</v>
      </c>
      <c r="I201" s="5" t="s">
        <v>557</v>
      </c>
      <c r="J201" s="40" t="s">
        <v>557</v>
      </c>
      <c r="K201" s="12">
        <f>SUM(K207+K202)</f>
        <v>12761.7</v>
      </c>
      <c r="L201" s="12">
        <f>SUM(L207+L202)</f>
        <v>10251.200000000001</v>
      </c>
      <c r="M201" s="12">
        <f t="shared" si="27"/>
        <v>80.327856006644879</v>
      </c>
      <c r="N201" s="9"/>
    </row>
    <row r="202" spans="1:14" s="28" customFormat="1" ht="47.25" x14ac:dyDescent="0.2">
      <c r="A202" s="72"/>
      <c r="B202" s="19" t="s">
        <v>233</v>
      </c>
      <c r="C202" s="62">
        <v>902</v>
      </c>
      <c r="D202" s="8" t="s">
        <v>90</v>
      </c>
      <c r="E202" s="8" t="s">
        <v>6</v>
      </c>
      <c r="F202" s="8" t="s">
        <v>88</v>
      </c>
      <c r="G202" s="40" t="s">
        <v>557</v>
      </c>
      <c r="H202" s="5" t="s">
        <v>557</v>
      </c>
      <c r="I202" s="5" t="s">
        <v>557</v>
      </c>
      <c r="J202" s="40" t="s">
        <v>557</v>
      </c>
      <c r="K202" s="12">
        <f t="shared" ref="K202:L205" si="28">K203</f>
        <v>100</v>
      </c>
      <c r="L202" s="12">
        <f t="shared" si="28"/>
        <v>100</v>
      </c>
      <c r="M202" s="12">
        <f t="shared" si="27"/>
        <v>100</v>
      </c>
      <c r="N202" s="9"/>
    </row>
    <row r="203" spans="1:14" s="28" customFormat="1" ht="49.5" customHeight="1" x14ac:dyDescent="0.2">
      <c r="A203" s="72"/>
      <c r="B203" s="19" t="s">
        <v>461</v>
      </c>
      <c r="C203" s="62">
        <v>902</v>
      </c>
      <c r="D203" s="8" t="s">
        <v>90</v>
      </c>
      <c r="E203" s="8" t="s">
        <v>6</v>
      </c>
      <c r="F203" s="8" t="s">
        <v>88</v>
      </c>
      <c r="G203" s="8" t="s">
        <v>116</v>
      </c>
      <c r="H203" s="5" t="s">
        <v>557</v>
      </c>
      <c r="I203" s="5" t="s">
        <v>557</v>
      </c>
      <c r="J203" s="40" t="s">
        <v>557</v>
      </c>
      <c r="K203" s="12">
        <f t="shared" si="28"/>
        <v>100</v>
      </c>
      <c r="L203" s="12">
        <f t="shared" si="28"/>
        <v>100</v>
      </c>
      <c r="M203" s="12">
        <f t="shared" si="27"/>
        <v>100</v>
      </c>
      <c r="N203" s="9"/>
    </row>
    <row r="204" spans="1:14" s="28" customFormat="1" ht="66" customHeight="1" x14ac:dyDescent="0.2">
      <c r="A204" s="72"/>
      <c r="B204" s="19" t="s">
        <v>462</v>
      </c>
      <c r="C204" s="62">
        <v>902</v>
      </c>
      <c r="D204" s="8" t="s">
        <v>90</v>
      </c>
      <c r="E204" s="8" t="s">
        <v>6</v>
      </c>
      <c r="F204" s="8" t="s">
        <v>88</v>
      </c>
      <c r="G204" s="8" t="s">
        <v>116</v>
      </c>
      <c r="H204" s="8" t="s">
        <v>2</v>
      </c>
      <c r="I204" s="5" t="s">
        <v>557</v>
      </c>
      <c r="J204" s="40" t="s">
        <v>557</v>
      </c>
      <c r="K204" s="12">
        <f t="shared" si="28"/>
        <v>100</v>
      </c>
      <c r="L204" s="12">
        <f t="shared" si="28"/>
        <v>100</v>
      </c>
      <c r="M204" s="12">
        <f t="shared" si="27"/>
        <v>100</v>
      </c>
      <c r="N204" s="9"/>
    </row>
    <row r="205" spans="1:14" s="28" customFormat="1" ht="110.25" x14ac:dyDescent="0.2">
      <c r="A205" s="72"/>
      <c r="B205" s="19" t="s">
        <v>463</v>
      </c>
      <c r="C205" s="62">
        <v>902</v>
      </c>
      <c r="D205" s="8" t="s">
        <v>90</v>
      </c>
      <c r="E205" s="8" t="s">
        <v>6</v>
      </c>
      <c r="F205" s="8" t="s">
        <v>88</v>
      </c>
      <c r="G205" s="8" t="s">
        <v>116</v>
      </c>
      <c r="H205" s="8" t="s">
        <v>2</v>
      </c>
      <c r="I205" s="8" t="s">
        <v>464</v>
      </c>
      <c r="J205" s="40" t="s">
        <v>557</v>
      </c>
      <c r="K205" s="12">
        <f t="shared" si="28"/>
        <v>100</v>
      </c>
      <c r="L205" s="12">
        <f t="shared" si="28"/>
        <v>100</v>
      </c>
      <c r="M205" s="12">
        <f t="shared" si="27"/>
        <v>100</v>
      </c>
      <c r="N205" s="9"/>
    </row>
    <row r="206" spans="1:14" s="28" customFormat="1" ht="31.5" x14ac:dyDescent="0.2">
      <c r="A206" s="72"/>
      <c r="B206" s="19" t="s">
        <v>164</v>
      </c>
      <c r="C206" s="62">
        <v>902</v>
      </c>
      <c r="D206" s="8" t="s">
        <v>90</v>
      </c>
      <c r="E206" s="8" t="s">
        <v>6</v>
      </c>
      <c r="F206" s="8" t="s">
        <v>88</v>
      </c>
      <c r="G206" s="8" t="s">
        <v>116</v>
      </c>
      <c r="H206" s="8" t="s">
        <v>2</v>
      </c>
      <c r="I206" s="8" t="s">
        <v>464</v>
      </c>
      <c r="J206" s="8" t="s">
        <v>57</v>
      </c>
      <c r="K206" s="12">
        <v>100</v>
      </c>
      <c r="L206" s="12">
        <v>100</v>
      </c>
      <c r="M206" s="12">
        <f t="shared" si="27"/>
        <v>100</v>
      </c>
      <c r="N206" s="9"/>
    </row>
    <row r="207" spans="1:14" s="28" customFormat="1" ht="31.5" x14ac:dyDescent="0.2">
      <c r="A207" s="72"/>
      <c r="B207" s="41" t="s">
        <v>238</v>
      </c>
      <c r="C207" s="62">
        <v>902</v>
      </c>
      <c r="D207" s="8" t="s">
        <v>90</v>
      </c>
      <c r="E207" s="8" t="s">
        <v>6</v>
      </c>
      <c r="F207" s="8" t="s">
        <v>115</v>
      </c>
      <c r="G207" s="40" t="s">
        <v>557</v>
      </c>
      <c r="H207" s="5" t="s">
        <v>557</v>
      </c>
      <c r="I207" s="5" t="s">
        <v>557</v>
      </c>
      <c r="J207" s="40" t="s">
        <v>557</v>
      </c>
      <c r="K207" s="12">
        <f t="shared" ref="K207:L210" si="29">SUM(K208)</f>
        <v>12661.7</v>
      </c>
      <c r="L207" s="12">
        <f t="shared" si="29"/>
        <v>10151.200000000001</v>
      </c>
      <c r="M207" s="12">
        <f t="shared" si="27"/>
        <v>80.172488686353333</v>
      </c>
      <c r="N207" s="9"/>
    </row>
    <row r="208" spans="1:14" s="28" customFormat="1" ht="47.25" x14ac:dyDescent="0.2">
      <c r="A208" s="72"/>
      <c r="B208" s="41" t="s">
        <v>241</v>
      </c>
      <c r="C208" s="62">
        <v>902</v>
      </c>
      <c r="D208" s="8" t="s">
        <v>90</v>
      </c>
      <c r="E208" s="8" t="s">
        <v>6</v>
      </c>
      <c r="F208" s="8" t="s">
        <v>115</v>
      </c>
      <c r="G208" s="8" t="s">
        <v>123</v>
      </c>
      <c r="H208" s="5" t="s">
        <v>557</v>
      </c>
      <c r="I208" s="5" t="s">
        <v>557</v>
      </c>
      <c r="J208" s="40" t="s">
        <v>557</v>
      </c>
      <c r="K208" s="12">
        <f t="shared" si="29"/>
        <v>12661.7</v>
      </c>
      <c r="L208" s="12">
        <f t="shared" si="29"/>
        <v>10151.200000000001</v>
      </c>
      <c r="M208" s="12">
        <f t="shared" si="27"/>
        <v>80.172488686353333</v>
      </c>
      <c r="N208" s="9"/>
    </row>
    <row r="209" spans="1:14" s="28" customFormat="1" ht="31.5" x14ac:dyDescent="0.2">
      <c r="A209" s="72"/>
      <c r="B209" s="41" t="s">
        <v>124</v>
      </c>
      <c r="C209" s="62">
        <v>902</v>
      </c>
      <c r="D209" s="8" t="s">
        <v>90</v>
      </c>
      <c r="E209" s="8" t="s">
        <v>6</v>
      </c>
      <c r="F209" s="8" t="s">
        <v>115</v>
      </c>
      <c r="G209" s="8" t="s">
        <v>123</v>
      </c>
      <c r="H209" s="8" t="s">
        <v>2</v>
      </c>
      <c r="I209" s="5" t="s">
        <v>557</v>
      </c>
      <c r="J209" s="40" t="s">
        <v>557</v>
      </c>
      <c r="K209" s="12">
        <f t="shared" si="29"/>
        <v>12661.7</v>
      </c>
      <c r="L209" s="12">
        <f t="shared" si="29"/>
        <v>10151.200000000001</v>
      </c>
      <c r="M209" s="12">
        <f t="shared" si="27"/>
        <v>80.172488686353333</v>
      </c>
      <c r="N209" s="9"/>
    </row>
    <row r="210" spans="1:14" s="28" customFormat="1" ht="78.75" x14ac:dyDescent="0.2">
      <c r="A210" s="72"/>
      <c r="B210" s="41" t="s">
        <v>242</v>
      </c>
      <c r="C210" s="62">
        <v>902</v>
      </c>
      <c r="D210" s="8" t="s">
        <v>90</v>
      </c>
      <c r="E210" s="8" t="s">
        <v>6</v>
      </c>
      <c r="F210" s="8" t="s">
        <v>115</v>
      </c>
      <c r="G210" s="8" t="s">
        <v>123</v>
      </c>
      <c r="H210" s="8" t="s">
        <v>2</v>
      </c>
      <c r="I210" s="8" t="s">
        <v>125</v>
      </c>
      <c r="J210" s="40" t="s">
        <v>557</v>
      </c>
      <c r="K210" s="12">
        <f t="shared" si="29"/>
        <v>12661.7</v>
      </c>
      <c r="L210" s="12">
        <f t="shared" si="29"/>
        <v>10151.200000000001</v>
      </c>
      <c r="M210" s="12">
        <f t="shared" si="27"/>
        <v>80.172488686353333</v>
      </c>
      <c r="N210" s="9"/>
    </row>
    <row r="211" spans="1:14" s="28" customFormat="1" ht="31.5" x14ac:dyDescent="0.2">
      <c r="A211" s="72"/>
      <c r="B211" s="19" t="s">
        <v>164</v>
      </c>
      <c r="C211" s="62">
        <v>902</v>
      </c>
      <c r="D211" s="8" t="s">
        <v>90</v>
      </c>
      <c r="E211" s="8" t="s">
        <v>6</v>
      </c>
      <c r="F211" s="8" t="s">
        <v>115</v>
      </c>
      <c r="G211" s="8" t="s">
        <v>123</v>
      </c>
      <c r="H211" s="8" t="s">
        <v>2</v>
      </c>
      <c r="I211" s="8" t="s">
        <v>125</v>
      </c>
      <c r="J211" s="8" t="s">
        <v>57</v>
      </c>
      <c r="K211" s="12">
        <v>12661.7</v>
      </c>
      <c r="L211" s="12">
        <v>10151.200000000001</v>
      </c>
      <c r="M211" s="12">
        <f t="shared" si="27"/>
        <v>80.172488686353333</v>
      </c>
      <c r="N211" s="9"/>
    </row>
    <row r="212" spans="1:14" s="28" customFormat="1" x14ac:dyDescent="0.2">
      <c r="A212" s="72"/>
      <c r="B212" s="47" t="s">
        <v>489</v>
      </c>
      <c r="C212" s="62">
        <v>902</v>
      </c>
      <c r="D212" s="8" t="s">
        <v>24</v>
      </c>
      <c r="E212" s="40" t="s">
        <v>557</v>
      </c>
      <c r="F212" s="5" t="s">
        <v>557</v>
      </c>
      <c r="G212" s="40" t="s">
        <v>557</v>
      </c>
      <c r="H212" s="5" t="s">
        <v>557</v>
      </c>
      <c r="I212" s="5" t="s">
        <v>557</v>
      </c>
      <c r="J212" s="40" t="s">
        <v>557</v>
      </c>
      <c r="K212" s="12">
        <f t="shared" ref="K212:L217" si="30">SUM(K213)</f>
        <v>1322.3000000000006</v>
      </c>
      <c r="L212" s="12">
        <f t="shared" si="30"/>
        <v>1322.3000000000006</v>
      </c>
      <c r="M212" s="12">
        <f t="shared" si="27"/>
        <v>100</v>
      </c>
      <c r="N212" s="9"/>
    </row>
    <row r="213" spans="1:14" s="28" customFormat="1" x14ac:dyDescent="0.2">
      <c r="A213" s="72"/>
      <c r="B213" s="47" t="s">
        <v>490</v>
      </c>
      <c r="C213" s="62">
        <v>902</v>
      </c>
      <c r="D213" s="8" t="s">
        <v>24</v>
      </c>
      <c r="E213" s="8" t="s">
        <v>4</v>
      </c>
      <c r="F213" s="5" t="s">
        <v>557</v>
      </c>
      <c r="G213" s="40" t="s">
        <v>557</v>
      </c>
      <c r="H213" s="5" t="s">
        <v>557</v>
      </c>
      <c r="I213" s="5" t="s">
        <v>557</v>
      </c>
      <c r="J213" s="40" t="s">
        <v>557</v>
      </c>
      <c r="K213" s="12">
        <f t="shared" si="30"/>
        <v>1322.3000000000006</v>
      </c>
      <c r="L213" s="12">
        <f t="shared" si="30"/>
        <v>1322.3000000000006</v>
      </c>
      <c r="M213" s="12">
        <f t="shared" si="27"/>
        <v>100</v>
      </c>
      <c r="N213" s="9"/>
    </row>
    <row r="214" spans="1:14" s="28" customFormat="1" ht="31.5" x14ac:dyDescent="0.2">
      <c r="A214" s="72"/>
      <c r="B214" s="19" t="s">
        <v>251</v>
      </c>
      <c r="C214" s="62">
        <v>902</v>
      </c>
      <c r="D214" s="8" t="s">
        <v>24</v>
      </c>
      <c r="E214" s="8" t="s">
        <v>4</v>
      </c>
      <c r="F214" s="8" t="s">
        <v>4</v>
      </c>
      <c r="G214" s="40" t="s">
        <v>557</v>
      </c>
      <c r="H214" s="5" t="s">
        <v>557</v>
      </c>
      <c r="I214" s="5" t="s">
        <v>557</v>
      </c>
      <c r="J214" s="40" t="s">
        <v>557</v>
      </c>
      <c r="K214" s="12">
        <f t="shared" si="30"/>
        <v>1322.3000000000006</v>
      </c>
      <c r="L214" s="12">
        <f t="shared" si="30"/>
        <v>1322.3000000000006</v>
      </c>
      <c r="M214" s="12">
        <f t="shared" si="27"/>
        <v>100</v>
      </c>
      <c r="N214" s="9"/>
    </row>
    <row r="215" spans="1:14" s="28" customFormat="1" ht="31.5" x14ac:dyDescent="0.2">
      <c r="A215" s="72"/>
      <c r="B215" s="19" t="s">
        <v>136</v>
      </c>
      <c r="C215" s="62">
        <v>902</v>
      </c>
      <c r="D215" s="8" t="s">
        <v>24</v>
      </c>
      <c r="E215" s="8" t="s">
        <v>4</v>
      </c>
      <c r="F215" s="8" t="s">
        <v>4</v>
      </c>
      <c r="G215" s="63">
        <v>1</v>
      </c>
      <c r="H215" s="5" t="s">
        <v>557</v>
      </c>
      <c r="I215" s="5" t="s">
        <v>557</v>
      </c>
      <c r="J215" s="40" t="s">
        <v>557</v>
      </c>
      <c r="K215" s="12">
        <f t="shared" si="30"/>
        <v>1322.3000000000006</v>
      </c>
      <c r="L215" s="12">
        <f t="shared" si="30"/>
        <v>1322.3000000000006</v>
      </c>
      <c r="M215" s="12">
        <f t="shared" si="27"/>
        <v>100</v>
      </c>
      <c r="N215" s="9"/>
    </row>
    <row r="216" spans="1:14" s="28" customFormat="1" ht="78.75" x14ac:dyDescent="0.2">
      <c r="A216" s="72"/>
      <c r="B216" s="41" t="s">
        <v>137</v>
      </c>
      <c r="C216" s="62">
        <v>902</v>
      </c>
      <c r="D216" s="8" t="s">
        <v>24</v>
      </c>
      <c r="E216" s="8" t="s">
        <v>4</v>
      </c>
      <c r="F216" s="8" t="s">
        <v>4</v>
      </c>
      <c r="G216" s="63">
        <v>1</v>
      </c>
      <c r="H216" s="8" t="s">
        <v>2</v>
      </c>
      <c r="I216" s="5" t="s">
        <v>557</v>
      </c>
      <c r="J216" s="40" t="s">
        <v>557</v>
      </c>
      <c r="K216" s="12">
        <f t="shared" si="30"/>
        <v>1322.3000000000006</v>
      </c>
      <c r="L216" s="12">
        <f t="shared" si="30"/>
        <v>1322.3000000000006</v>
      </c>
      <c r="M216" s="12">
        <f t="shared" si="27"/>
        <v>100</v>
      </c>
      <c r="N216" s="9"/>
    </row>
    <row r="217" spans="1:14" s="28" customFormat="1" ht="189.75" customHeight="1" x14ac:dyDescent="0.2">
      <c r="A217" s="72"/>
      <c r="B217" s="19" t="s">
        <v>554</v>
      </c>
      <c r="C217" s="62">
        <v>902</v>
      </c>
      <c r="D217" s="8" t="s">
        <v>24</v>
      </c>
      <c r="E217" s="8" t="s">
        <v>4</v>
      </c>
      <c r="F217" s="8" t="s">
        <v>4</v>
      </c>
      <c r="G217" s="63">
        <v>1</v>
      </c>
      <c r="H217" s="8" t="s">
        <v>2</v>
      </c>
      <c r="I217" s="8" t="s">
        <v>488</v>
      </c>
      <c r="J217" s="40" t="s">
        <v>557</v>
      </c>
      <c r="K217" s="12">
        <f t="shared" si="30"/>
        <v>1322.3000000000006</v>
      </c>
      <c r="L217" s="12">
        <f t="shared" si="30"/>
        <v>1322.3000000000006</v>
      </c>
      <c r="M217" s="12">
        <f t="shared" si="27"/>
        <v>100</v>
      </c>
      <c r="N217" s="9"/>
    </row>
    <row r="218" spans="1:14" s="28" customFormat="1" ht="32.25" customHeight="1" x14ac:dyDescent="0.2">
      <c r="A218" s="72"/>
      <c r="B218" s="19" t="s">
        <v>95</v>
      </c>
      <c r="C218" s="62">
        <v>902</v>
      </c>
      <c r="D218" s="8" t="s">
        <v>24</v>
      </c>
      <c r="E218" s="8" t="s">
        <v>4</v>
      </c>
      <c r="F218" s="8" t="s">
        <v>4</v>
      </c>
      <c r="G218" s="63">
        <v>1</v>
      </c>
      <c r="H218" s="8" t="s">
        <v>2</v>
      </c>
      <c r="I218" s="8" t="s">
        <v>488</v>
      </c>
      <c r="J218" s="8" t="s">
        <v>64</v>
      </c>
      <c r="K218" s="12">
        <f>13750+576.7-13000-4.4</f>
        <v>1322.3000000000006</v>
      </c>
      <c r="L218" s="12">
        <f>13750+576.7-13000-4.4</f>
        <v>1322.3000000000006</v>
      </c>
      <c r="M218" s="12">
        <f t="shared" si="27"/>
        <v>100</v>
      </c>
      <c r="N218" s="9"/>
    </row>
    <row r="219" spans="1:14" s="28" customFormat="1" x14ac:dyDescent="0.2">
      <c r="A219" s="72"/>
      <c r="B219" s="19" t="s">
        <v>20</v>
      </c>
      <c r="C219" s="62">
        <v>902</v>
      </c>
      <c r="D219" s="8">
        <v>10</v>
      </c>
      <c r="E219" s="40" t="s">
        <v>557</v>
      </c>
      <c r="F219" s="5" t="s">
        <v>557</v>
      </c>
      <c r="G219" s="40" t="s">
        <v>557</v>
      </c>
      <c r="H219" s="5" t="s">
        <v>557</v>
      </c>
      <c r="I219" s="5" t="s">
        <v>557</v>
      </c>
      <c r="J219" s="40" t="s">
        <v>557</v>
      </c>
      <c r="K219" s="12">
        <f>SUM(K220+K226+K243+K249)</f>
        <v>66547.3</v>
      </c>
      <c r="L219" s="12">
        <f>SUM(L220+L226+L243+L249)</f>
        <v>62706.599999999991</v>
      </c>
      <c r="M219" s="12">
        <f t="shared" si="27"/>
        <v>94.228616337552367</v>
      </c>
      <c r="N219" s="9"/>
    </row>
    <row r="220" spans="1:14" s="28" customFormat="1" x14ac:dyDescent="0.2">
      <c r="A220" s="72"/>
      <c r="B220" s="46" t="s">
        <v>43</v>
      </c>
      <c r="C220" s="62">
        <v>902</v>
      </c>
      <c r="D220" s="8" t="s">
        <v>21</v>
      </c>
      <c r="E220" s="8" t="s">
        <v>2</v>
      </c>
      <c r="F220" s="5" t="s">
        <v>557</v>
      </c>
      <c r="G220" s="40" t="s">
        <v>557</v>
      </c>
      <c r="H220" s="5" t="s">
        <v>557</v>
      </c>
      <c r="I220" s="5" t="s">
        <v>557</v>
      </c>
      <c r="J220" s="40" t="s">
        <v>557</v>
      </c>
      <c r="K220" s="12">
        <f t="shared" ref="K220:L222" si="31">SUM(K221)</f>
        <v>6076.3</v>
      </c>
      <c r="L220" s="12">
        <f t="shared" si="31"/>
        <v>6076.3</v>
      </c>
      <c r="M220" s="12">
        <f t="shared" si="27"/>
        <v>100</v>
      </c>
      <c r="N220" s="9"/>
    </row>
    <row r="221" spans="1:14" s="28" customFormat="1" ht="47.25" customHeight="1" x14ac:dyDescent="0.2">
      <c r="A221" s="72"/>
      <c r="B221" s="41" t="s">
        <v>243</v>
      </c>
      <c r="C221" s="62">
        <v>902</v>
      </c>
      <c r="D221" s="8" t="s">
        <v>21</v>
      </c>
      <c r="E221" s="8" t="s">
        <v>2</v>
      </c>
      <c r="F221" s="8" t="s">
        <v>126</v>
      </c>
      <c r="G221" s="40" t="s">
        <v>557</v>
      </c>
      <c r="H221" s="5" t="s">
        <v>557</v>
      </c>
      <c r="I221" s="5" t="s">
        <v>557</v>
      </c>
      <c r="J221" s="40" t="s">
        <v>557</v>
      </c>
      <c r="K221" s="12">
        <f t="shared" si="31"/>
        <v>6076.3</v>
      </c>
      <c r="L221" s="12">
        <f t="shared" si="31"/>
        <v>6076.3</v>
      </c>
      <c r="M221" s="12">
        <f t="shared" si="27"/>
        <v>100</v>
      </c>
      <c r="N221" s="9"/>
    </row>
    <row r="222" spans="1:14" s="28" customFormat="1" ht="63" x14ac:dyDescent="0.2">
      <c r="A222" s="72"/>
      <c r="B222" s="41" t="s">
        <v>244</v>
      </c>
      <c r="C222" s="62">
        <v>902</v>
      </c>
      <c r="D222" s="8" t="s">
        <v>21</v>
      </c>
      <c r="E222" s="8" t="s">
        <v>2</v>
      </c>
      <c r="F222" s="8" t="s">
        <v>126</v>
      </c>
      <c r="G222" s="63">
        <v>1</v>
      </c>
      <c r="H222" s="5" t="s">
        <v>557</v>
      </c>
      <c r="I222" s="5" t="s">
        <v>557</v>
      </c>
      <c r="J222" s="40" t="s">
        <v>557</v>
      </c>
      <c r="K222" s="12">
        <f t="shared" si="31"/>
        <v>6076.3</v>
      </c>
      <c r="L222" s="12">
        <f t="shared" si="31"/>
        <v>6076.3</v>
      </c>
      <c r="M222" s="12">
        <f t="shared" si="27"/>
        <v>100</v>
      </c>
      <c r="N222" s="9"/>
    </row>
    <row r="223" spans="1:14" s="28" customFormat="1" ht="48" customHeight="1" x14ac:dyDescent="0.2">
      <c r="A223" s="72"/>
      <c r="B223" s="45" t="s">
        <v>299</v>
      </c>
      <c r="C223" s="62">
        <v>902</v>
      </c>
      <c r="D223" s="8" t="s">
        <v>21</v>
      </c>
      <c r="E223" s="8" t="s">
        <v>2</v>
      </c>
      <c r="F223" s="8" t="s">
        <v>126</v>
      </c>
      <c r="G223" s="63">
        <v>1</v>
      </c>
      <c r="H223" s="8" t="s">
        <v>2</v>
      </c>
      <c r="I223" s="5" t="s">
        <v>557</v>
      </c>
      <c r="J223" s="40" t="s">
        <v>557</v>
      </c>
      <c r="K223" s="12">
        <f>SUM(K225)</f>
        <v>6076.3</v>
      </c>
      <c r="L223" s="12">
        <f>SUM(L225)</f>
        <v>6076.3</v>
      </c>
      <c r="M223" s="12">
        <f t="shared" si="27"/>
        <v>100</v>
      </c>
      <c r="N223" s="9"/>
    </row>
    <row r="224" spans="1:14" s="28" customFormat="1" ht="63" x14ac:dyDescent="0.2">
      <c r="A224" s="72"/>
      <c r="B224" s="45" t="s">
        <v>245</v>
      </c>
      <c r="C224" s="62">
        <v>902</v>
      </c>
      <c r="D224" s="8" t="s">
        <v>21</v>
      </c>
      <c r="E224" s="8" t="s">
        <v>2</v>
      </c>
      <c r="F224" s="8" t="s">
        <v>126</v>
      </c>
      <c r="G224" s="63">
        <v>1</v>
      </c>
      <c r="H224" s="8" t="s">
        <v>2</v>
      </c>
      <c r="I224" s="8" t="s">
        <v>127</v>
      </c>
      <c r="J224" s="40" t="s">
        <v>557</v>
      </c>
      <c r="K224" s="12">
        <f>SUM(K225)</f>
        <v>6076.3</v>
      </c>
      <c r="L224" s="12">
        <f>SUM(L225)</f>
        <v>6076.3</v>
      </c>
      <c r="M224" s="12">
        <f t="shared" si="27"/>
        <v>100</v>
      </c>
      <c r="N224" s="9"/>
    </row>
    <row r="225" spans="1:14" s="28" customFormat="1" ht="19.5" customHeight="1" x14ac:dyDescent="0.2">
      <c r="A225" s="72"/>
      <c r="B225" s="44" t="s">
        <v>65</v>
      </c>
      <c r="C225" s="62">
        <v>902</v>
      </c>
      <c r="D225" s="8" t="s">
        <v>21</v>
      </c>
      <c r="E225" s="8" t="s">
        <v>2</v>
      </c>
      <c r="F225" s="8" t="s">
        <v>126</v>
      </c>
      <c r="G225" s="63">
        <v>1</v>
      </c>
      <c r="H225" s="8" t="s">
        <v>2</v>
      </c>
      <c r="I225" s="8" t="s">
        <v>127</v>
      </c>
      <c r="J225" s="8" t="s">
        <v>66</v>
      </c>
      <c r="K225" s="12">
        <f>5563.6+512.7</f>
        <v>6076.3</v>
      </c>
      <c r="L225" s="12">
        <f>5563.6+512.7</f>
        <v>6076.3</v>
      </c>
      <c r="M225" s="12">
        <f t="shared" si="27"/>
        <v>100</v>
      </c>
      <c r="N225" s="9"/>
    </row>
    <row r="226" spans="1:14" s="28" customFormat="1" x14ac:dyDescent="0.2">
      <c r="A226" s="72"/>
      <c r="B226" s="44" t="s">
        <v>28</v>
      </c>
      <c r="C226" s="62">
        <v>902</v>
      </c>
      <c r="D226" s="8" t="s">
        <v>21</v>
      </c>
      <c r="E226" s="8" t="s">
        <v>5</v>
      </c>
      <c r="F226" s="5" t="s">
        <v>557</v>
      </c>
      <c r="G226" s="40" t="s">
        <v>557</v>
      </c>
      <c r="H226" s="5" t="s">
        <v>557</v>
      </c>
      <c r="I226" s="5" t="s">
        <v>557</v>
      </c>
      <c r="J226" s="40" t="s">
        <v>557</v>
      </c>
      <c r="K226" s="12">
        <f>K227+K235</f>
        <v>28522.6</v>
      </c>
      <c r="L226" s="12">
        <f>L227+L235</f>
        <v>24682.6</v>
      </c>
      <c r="M226" s="12">
        <f t="shared" si="27"/>
        <v>86.536991718847517</v>
      </c>
      <c r="N226" s="9"/>
    </row>
    <row r="227" spans="1:14" s="28" customFormat="1" ht="46.5" customHeight="1" x14ac:dyDescent="0.2">
      <c r="A227" s="72"/>
      <c r="B227" s="41" t="s">
        <v>243</v>
      </c>
      <c r="C227" s="62">
        <v>902</v>
      </c>
      <c r="D227" s="8" t="s">
        <v>21</v>
      </c>
      <c r="E227" s="8" t="s">
        <v>5</v>
      </c>
      <c r="F227" s="8" t="s">
        <v>126</v>
      </c>
      <c r="G227" s="40" t="s">
        <v>557</v>
      </c>
      <c r="H227" s="5" t="s">
        <v>557</v>
      </c>
      <c r="I227" s="5" t="s">
        <v>557</v>
      </c>
      <c r="J227" s="40" t="s">
        <v>557</v>
      </c>
      <c r="K227" s="12">
        <f>SUM(K228)</f>
        <v>14400</v>
      </c>
      <c r="L227" s="12">
        <f>SUM(L228)</f>
        <v>10560</v>
      </c>
      <c r="M227" s="12">
        <f t="shared" si="27"/>
        <v>73.333333333333329</v>
      </c>
      <c r="N227" s="9"/>
    </row>
    <row r="228" spans="1:14" s="28" customFormat="1" ht="63" x14ac:dyDescent="0.2">
      <c r="A228" s="72"/>
      <c r="B228" s="41" t="s">
        <v>244</v>
      </c>
      <c r="C228" s="62">
        <v>902</v>
      </c>
      <c r="D228" s="8" t="s">
        <v>21</v>
      </c>
      <c r="E228" s="8" t="s">
        <v>5</v>
      </c>
      <c r="F228" s="8" t="s">
        <v>126</v>
      </c>
      <c r="G228" s="8" t="s">
        <v>116</v>
      </c>
      <c r="H228" s="5" t="s">
        <v>557</v>
      </c>
      <c r="I228" s="5" t="s">
        <v>557</v>
      </c>
      <c r="J228" s="40" t="s">
        <v>557</v>
      </c>
      <c r="K228" s="12">
        <f>K229+K232</f>
        <v>14400</v>
      </c>
      <c r="L228" s="12">
        <f>L229+L232</f>
        <v>10560</v>
      </c>
      <c r="M228" s="12">
        <f t="shared" si="27"/>
        <v>73.333333333333329</v>
      </c>
      <c r="N228" s="9"/>
    </row>
    <row r="229" spans="1:14" s="28" customFormat="1" ht="47.25" customHeight="1" x14ac:dyDescent="0.2">
      <c r="A229" s="72"/>
      <c r="B229" s="19" t="s">
        <v>299</v>
      </c>
      <c r="C229" s="62">
        <v>902</v>
      </c>
      <c r="D229" s="8" t="s">
        <v>21</v>
      </c>
      <c r="E229" s="8" t="s">
        <v>5</v>
      </c>
      <c r="F229" s="8" t="s">
        <v>126</v>
      </c>
      <c r="G229" s="8" t="s">
        <v>116</v>
      </c>
      <c r="H229" s="8" t="s">
        <v>2</v>
      </c>
      <c r="I229" s="5" t="s">
        <v>557</v>
      </c>
      <c r="J229" s="40" t="s">
        <v>557</v>
      </c>
      <c r="K229" s="12">
        <f>SUM(K230)</f>
        <v>200</v>
      </c>
      <c r="L229" s="12">
        <f>SUM(L230)</f>
        <v>160</v>
      </c>
      <c r="M229" s="12">
        <f t="shared" si="27"/>
        <v>80</v>
      </c>
      <c r="N229" s="9"/>
    </row>
    <row r="230" spans="1:14" s="28" customFormat="1" ht="63" x14ac:dyDescent="0.2">
      <c r="A230" s="72"/>
      <c r="B230" s="41" t="s">
        <v>245</v>
      </c>
      <c r="C230" s="62">
        <v>902</v>
      </c>
      <c r="D230" s="8" t="s">
        <v>21</v>
      </c>
      <c r="E230" s="8" t="s">
        <v>5</v>
      </c>
      <c r="F230" s="8" t="s">
        <v>126</v>
      </c>
      <c r="G230" s="8" t="s">
        <v>116</v>
      </c>
      <c r="H230" s="8" t="s">
        <v>2</v>
      </c>
      <c r="I230" s="8" t="s">
        <v>127</v>
      </c>
      <c r="J230" s="40" t="s">
        <v>557</v>
      </c>
      <c r="K230" s="12">
        <f>SUM(K231)</f>
        <v>200</v>
      </c>
      <c r="L230" s="12">
        <f>SUM(L231)</f>
        <v>160</v>
      </c>
      <c r="M230" s="12">
        <f t="shared" si="27"/>
        <v>80</v>
      </c>
      <c r="N230" s="9"/>
    </row>
    <row r="231" spans="1:14" s="28" customFormat="1" ht="16.5" customHeight="1" x14ac:dyDescent="0.2">
      <c r="A231" s="72"/>
      <c r="B231" s="19" t="s">
        <v>65</v>
      </c>
      <c r="C231" s="62">
        <v>902</v>
      </c>
      <c r="D231" s="8" t="s">
        <v>21</v>
      </c>
      <c r="E231" s="8" t="s">
        <v>5</v>
      </c>
      <c r="F231" s="8" t="s">
        <v>126</v>
      </c>
      <c r="G231" s="8" t="s">
        <v>116</v>
      </c>
      <c r="H231" s="8" t="s">
        <v>2</v>
      </c>
      <c r="I231" s="8" t="s">
        <v>127</v>
      </c>
      <c r="J231" s="8" t="s">
        <v>66</v>
      </c>
      <c r="K231" s="12">
        <f>120+80</f>
        <v>200</v>
      </c>
      <c r="L231" s="12">
        <v>160</v>
      </c>
      <c r="M231" s="12">
        <f t="shared" si="27"/>
        <v>80</v>
      </c>
      <c r="N231" s="9"/>
    </row>
    <row r="232" spans="1:14" s="28" customFormat="1" ht="126" x14ac:dyDescent="0.2">
      <c r="A232" s="72"/>
      <c r="B232" s="19" t="s">
        <v>502</v>
      </c>
      <c r="C232" s="62">
        <v>902</v>
      </c>
      <c r="D232" s="8" t="s">
        <v>21</v>
      </c>
      <c r="E232" s="8" t="s">
        <v>5</v>
      </c>
      <c r="F232" s="8" t="s">
        <v>126</v>
      </c>
      <c r="G232" s="8" t="s">
        <v>116</v>
      </c>
      <c r="H232" s="8" t="s">
        <v>4</v>
      </c>
      <c r="I232" s="5" t="s">
        <v>557</v>
      </c>
      <c r="J232" s="40" t="s">
        <v>557</v>
      </c>
      <c r="K232" s="12">
        <f>K233</f>
        <v>14200</v>
      </c>
      <c r="L232" s="12">
        <f>L233</f>
        <v>10400</v>
      </c>
      <c r="M232" s="12">
        <f t="shared" si="27"/>
        <v>73.239436619718319</v>
      </c>
      <c r="N232" s="9"/>
    </row>
    <row r="233" spans="1:14" s="28" customFormat="1" ht="116.25" customHeight="1" x14ac:dyDescent="0.2">
      <c r="A233" s="72"/>
      <c r="B233" s="19" t="s">
        <v>503</v>
      </c>
      <c r="C233" s="62">
        <v>902</v>
      </c>
      <c r="D233" s="8" t="s">
        <v>21</v>
      </c>
      <c r="E233" s="8" t="s">
        <v>5</v>
      </c>
      <c r="F233" s="8" t="s">
        <v>126</v>
      </c>
      <c r="G233" s="8" t="s">
        <v>116</v>
      </c>
      <c r="H233" s="8" t="s">
        <v>4</v>
      </c>
      <c r="I233" s="8" t="s">
        <v>531</v>
      </c>
      <c r="J233" s="40" t="s">
        <v>557</v>
      </c>
      <c r="K233" s="12">
        <f>K234</f>
        <v>14200</v>
      </c>
      <c r="L233" s="12">
        <f>L234</f>
        <v>10400</v>
      </c>
      <c r="M233" s="12">
        <f t="shared" si="27"/>
        <v>73.239436619718319</v>
      </c>
      <c r="N233" s="9"/>
    </row>
    <row r="234" spans="1:14" s="28" customFormat="1" ht="19.5" customHeight="1" x14ac:dyDescent="0.2">
      <c r="A234" s="72"/>
      <c r="B234" s="19" t="s">
        <v>65</v>
      </c>
      <c r="C234" s="62">
        <v>902</v>
      </c>
      <c r="D234" s="8" t="s">
        <v>21</v>
      </c>
      <c r="E234" s="8" t="s">
        <v>5</v>
      </c>
      <c r="F234" s="8" t="s">
        <v>126</v>
      </c>
      <c r="G234" s="8" t="s">
        <v>116</v>
      </c>
      <c r="H234" s="8" t="s">
        <v>4</v>
      </c>
      <c r="I234" s="8" t="s">
        <v>531</v>
      </c>
      <c r="J234" s="8" t="s">
        <v>66</v>
      </c>
      <c r="K234" s="12">
        <f>2000+4200+8000</f>
        <v>14200</v>
      </c>
      <c r="L234" s="12">
        <v>10400</v>
      </c>
      <c r="M234" s="12">
        <f t="shared" si="27"/>
        <v>73.239436619718319</v>
      </c>
      <c r="N234" s="9"/>
    </row>
    <row r="235" spans="1:14" s="28" customFormat="1" ht="47.25" x14ac:dyDescent="0.2">
      <c r="A235" s="72"/>
      <c r="B235" s="41" t="s">
        <v>80</v>
      </c>
      <c r="C235" s="62">
        <v>902</v>
      </c>
      <c r="D235" s="8" t="s">
        <v>21</v>
      </c>
      <c r="E235" s="8" t="s">
        <v>5</v>
      </c>
      <c r="F235" s="8" t="s">
        <v>131</v>
      </c>
      <c r="G235" s="40" t="s">
        <v>557</v>
      </c>
      <c r="H235" s="5" t="s">
        <v>557</v>
      </c>
      <c r="I235" s="5" t="s">
        <v>557</v>
      </c>
      <c r="J235" s="40" t="s">
        <v>557</v>
      </c>
      <c r="K235" s="12">
        <f>K236</f>
        <v>14122.599999999999</v>
      </c>
      <c r="L235" s="12">
        <f>L236</f>
        <v>14122.599999999999</v>
      </c>
      <c r="M235" s="12">
        <f t="shared" si="27"/>
        <v>100</v>
      </c>
      <c r="N235" s="9"/>
    </row>
    <row r="236" spans="1:14" s="28" customFormat="1" ht="18" customHeight="1" x14ac:dyDescent="0.2">
      <c r="A236" s="72"/>
      <c r="B236" s="41" t="s">
        <v>63</v>
      </c>
      <c r="C236" s="62">
        <v>902</v>
      </c>
      <c r="D236" s="8" t="s">
        <v>21</v>
      </c>
      <c r="E236" s="8" t="s">
        <v>5</v>
      </c>
      <c r="F236" s="8" t="s">
        <v>131</v>
      </c>
      <c r="G236" s="8" t="s">
        <v>156</v>
      </c>
      <c r="H236" s="5" t="s">
        <v>557</v>
      </c>
      <c r="I236" s="5" t="s">
        <v>557</v>
      </c>
      <c r="J236" s="40" t="s">
        <v>557</v>
      </c>
      <c r="K236" s="12">
        <f>K241+K237+K239</f>
        <v>14122.599999999999</v>
      </c>
      <c r="L236" s="12">
        <f>L241+L237+L239</f>
        <v>14122.599999999999</v>
      </c>
      <c r="M236" s="12">
        <f t="shared" si="27"/>
        <v>100</v>
      </c>
      <c r="N236" s="9"/>
    </row>
    <row r="237" spans="1:14" s="28" customFormat="1" ht="36.75" customHeight="1" x14ac:dyDescent="0.2">
      <c r="A237" s="72"/>
      <c r="B237" s="19" t="s">
        <v>79</v>
      </c>
      <c r="C237" s="62">
        <v>902</v>
      </c>
      <c r="D237" s="8" t="s">
        <v>21</v>
      </c>
      <c r="E237" s="8" t="s">
        <v>5</v>
      </c>
      <c r="F237" s="8" t="s">
        <v>131</v>
      </c>
      <c r="G237" s="8" t="s">
        <v>156</v>
      </c>
      <c r="H237" s="8" t="s">
        <v>97</v>
      </c>
      <c r="I237" s="8" t="s">
        <v>133</v>
      </c>
      <c r="J237" s="40" t="s">
        <v>557</v>
      </c>
      <c r="K237" s="12">
        <f>K238</f>
        <v>570</v>
      </c>
      <c r="L237" s="12">
        <f>L238</f>
        <v>570</v>
      </c>
      <c r="M237" s="12">
        <f t="shared" si="27"/>
        <v>100</v>
      </c>
      <c r="N237" s="9"/>
    </row>
    <row r="238" spans="1:14" s="28" customFormat="1" ht="21.75" customHeight="1" x14ac:dyDescent="0.2">
      <c r="A238" s="72"/>
      <c r="B238" s="19" t="s">
        <v>65</v>
      </c>
      <c r="C238" s="62">
        <v>902</v>
      </c>
      <c r="D238" s="8" t="s">
        <v>21</v>
      </c>
      <c r="E238" s="8" t="s">
        <v>5</v>
      </c>
      <c r="F238" s="8" t="s">
        <v>131</v>
      </c>
      <c r="G238" s="8" t="s">
        <v>156</v>
      </c>
      <c r="H238" s="8" t="s">
        <v>97</v>
      </c>
      <c r="I238" s="8" t="s">
        <v>133</v>
      </c>
      <c r="J238" s="8" t="s">
        <v>66</v>
      </c>
      <c r="K238" s="12">
        <f>240+220+110</f>
        <v>570</v>
      </c>
      <c r="L238" s="12">
        <f>240+220+110</f>
        <v>570</v>
      </c>
      <c r="M238" s="12">
        <f t="shared" si="27"/>
        <v>100</v>
      </c>
      <c r="N238" s="9"/>
    </row>
    <row r="239" spans="1:14" s="28" customFormat="1" ht="31.5" x14ac:dyDescent="0.2">
      <c r="A239" s="72"/>
      <c r="B239" s="19" t="s">
        <v>473</v>
      </c>
      <c r="C239" s="62">
        <v>902</v>
      </c>
      <c r="D239" s="8" t="s">
        <v>21</v>
      </c>
      <c r="E239" s="8" t="s">
        <v>5</v>
      </c>
      <c r="F239" s="8" t="s">
        <v>131</v>
      </c>
      <c r="G239" s="8" t="s">
        <v>156</v>
      </c>
      <c r="H239" s="8" t="s">
        <v>97</v>
      </c>
      <c r="I239" s="8" t="s">
        <v>472</v>
      </c>
      <c r="J239" s="40" t="s">
        <v>557</v>
      </c>
      <c r="K239" s="12">
        <f>K240</f>
        <v>7135.4</v>
      </c>
      <c r="L239" s="12">
        <f>L240</f>
        <v>7135.4</v>
      </c>
      <c r="M239" s="12">
        <f t="shared" si="27"/>
        <v>100</v>
      </c>
      <c r="N239" s="9"/>
    </row>
    <row r="240" spans="1:14" s="28" customFormat="1" ht="16.5" customHeight="1" x14ac:dyDescent="0.2">
      <c r="A240" s="72"/>
      <c r="B240" s="19" t="s">
        <v>65</v>
      </c>
      <c r="C240" s="62">
        <v>902</v>
      </c>
      <c r="D240" s="8" t="s">
        <v>21</v>
      </c>
      <c r="E240" s="8" t="s">
        <v>5</v>
      </c>
      <c r="F240" s="8" t="s">
        <v>131</v>
      </c>
      <c r="G240" s="8" t="s">
        <v>156</v>
      </c>
      <c r="H240" s="8" t="s">
        <v>97</v>
      </c>
      <c r="I240" s="8" t="s">
        <v>472</v>
      </c>
      <c r="J240" s="8" t="s">
        <v>66</v>
      </c>
      <c r="K240" s="12">
        <v>7135.4</v>
      </c>
      <c r="L240" s="12">
        <v>7135.4</v>
      </c>
      <c r="M240" s="12">
        <f t="shared" si="27"/>
        <v>100</v>
      </c>
      <c r="N240" s="9"/>
    </row>
    <row r="241" spans="1:14" s="28" customFormat="1" ht="37.5" customHeight="1" x14ac:dyDescent="0.2">
      <c r="A241" s="72"/>
      <c r="B241" s="19" t="s">
        <v>482</v>
      </c>
      <c r="C241" s="62">
        <v>902</v>
      </c>
      <c r="D241" s="8" t="s">
        <v>21</v>
      </c>
      <c r="E241" s="8" t="s">
        <v>5</v>
      </c>
      <c r="F241" s="8" t="s">
        <v>131</v>
      </c>
      <c r="G241" s="8" t="s">
        <v>156</v>
      </c>
      <c r="H241" s="8" t="s">
        <v>97</v>
      </c>
      <c r="I241" s="8" t="s">
        <v>483</v>
      </c>
      <c r="J241" s="40" t="s">
        <v>557</v>
      </c>
      <c r="K241" s="12">
        <f>K242</f>
        <v>6417.2</v>
      </c>
      <c r="L241" s="12">
        <f>L242</f>
        <v>6417.2</v>
      </c>
      <c r="M241" s="12">
        <f t="shared" si="27"/>
        <v>100</v>
      </c>
      <c r="N241" s="9"/>
    </row>
    <row r="242" spans="1:14" s="28" customFormat="1" ht="18.75" customHeight="1" x14ac:dyDescent="0.2">
      <c r="A242" s="72"/>
      <c r="B242" s="19" t="s">
        <v>65</v>
      </c>
      <c r="C242" s="62">
        <v>902</v>
      </c>
      <c r="D242" s="8" t="s">
        <v>21</v>
      </c>
      <c r="E242" s="8" t="s">
        <v>5</v>
      </c>
      <c r="F242" s="8" t="s">
        <v>131</v>
      </c>
      <c r="G242" s="8" t="s">
        <v>156</v>
      </c>
      <c r="H242" s="8" t="s">
        <v>97</v>
      </c>
      <c r="I242" s="8" t="s">
        <v>483</v>
      </c>
      <c r="J242" s="8" t="s">
        <v>66</v>
      </c>
      <c r="K242" s="12">
        <f>6416.5+0.7</f>
        <v>6417.2</v>
      </c>
      <c r="L242" s="12">
        <f>6416.5+0.7</f>
        <v>6417.2</v>
      </c>
      <c r="M242" s="12">
        <f t="shared" si="27"/>
        <v>100</v>
      </c>
      <c r="N242" s="9"/>
    </row>
    <row r="243" spans="1:14" s="28" customFormat="1" x14ac:dyDescent="0.2">
      <c r="A243" s="72"/>
      <c r="B243" s="44" t="s">
        <v>29</v>
      </c>
      <c r="C243" s="62">
        <v>902</v>
      </c>
      <c r="D243" s="8" t="s">
        <v>21</v>
      </c>
      <c r="E243" s="8" t="s">
        <v>6</v>
      </c>
      <c r="F243" s="5" t="s">
        <v>557</v>
      </c>
      <c r="G243" s="40" t="s">
        <v>557</v>
      </c>
      <c r="H243" s="5" t="s">
        <v>557</v>
      </c>
      <c r="I243" s="5" t="s">
        <v>557</v>
      </c>
      <c r="J243" s="40" t="s">
        <v>557</v>
      </c>
      <c r="K243" s="12">
        <f>K244</f>
        <v>27402</v>
      </c>
      <c r="L243" s="12">
        <f>L244</f>
        <v>27402</v>
      </c>
      <c r="M243" s="12">
        <f t="shared" si="27"/>
        <v>100</v>
      </c>
      <c r="N243" s="9"/>
    </row>
    <row r="244" spans="1:14" s="28" customFormat="1" ht="31.5" x14ac:dyDescent="0.2">
      <c r="A244" s="72"/>
      <c r="B244" s="41" t="s">
        <v>238</v>
      </c>
      <c r="C244" s="62">
        <v>902</v>
      </c>
      <c r="D244" s="8" t="s">
        <v>21</v>
      </c>
      <c r="E244" s="8" t="s">
        <v>6</v>
      </c>
      <c r="F244" s="8" t="s">
        <v>115</v>
      </c>
      <c r="G244" s="40" t="s">
        <v>557</v>
      </c>
      <c r="H244" s="5" t="s">
        <v>557</v>
      </c>
      <c r="I244" s="5" t="s">
        <v>557</v>
      </c>
      <c r="J244" s="40" t="s">
        <v>557</v>
      </c>
      <c r="K244" s="12">
        <f t="shared" ref="K244:L244" si="32">K245</f>
        <v>27402</v>
      </c>
      <c r="L244" s="12">
        <f t="shared" si="32"/>
        <v>27402</v>
      </c>
      <c r="M244" s="12">
        <f t="shared" si="27"/>
        <v>100</v>
      </c>
      <c r="N244" s="9"/>
    </row>
    <row r="245" spans="1:14" s="28" customFormat="1" x14ac:dyDescent="0.2">
      <c r="A245" s="72"/>
      <c r="B245" s="41" t="s">
        <v>246</v>
      </c>
      <c r="C245" s="62">
        <v>902</v>
      </c>
      <c r="D245" s="8" t="s">
        <v>21</v>
      </c>
      <c r="E245" s="8" t="s">
        <v>6</v>
      </c>
      <c r="F245" s="8" t="s">
        <v>115</v>
      </c>
      <c r="G245" s="63">
        <v>2</v>
      </c>
      <c r="H245" s="5" t="s">
        <v>557</v>
      </c>
      <c r="I245" s="5" t="s">
        <v>557</v>
      </c>
      <c r="J245" s="40" t="s">
        <v>557</v>
      </c>
      <c r="K245" s="12">
        <f t="shared" ref="K245:L247" si="33">SUM(K246)</f>
        <v>27402</v>
      </c>
      <c r="L245" s="12">
        <f t="shared" si="33"/>
        <v>27402</v>
      </c>
      <c r="M245" s="12">
        <f t="shared" si="27"/>
        <v>100</v>
      </c>
      <c r="N245" s="9"/>
    </row>
    <row r="246" spans="1:14" s="28" customFormat="1" ht="48" customHeight="1" x14ac:dyDescent="0.2">
      <c r="A246" s="72"/>
      <c r="B246" s="41" t="s">
        <v>122</v>
      </c>
      <c r="C246" s="62">
        <v>902</v>
      </c>
      <c r="D246" s="8" t="s">
        <v>21</v>
      </c>
      <c r="E246" s="8" t="s">
        <v>6</v>
      </c>
      <c r="F246" s="8" t="s">
        <v>115</v>
      </c>
      <c r="G246" s="63">
        <v>2</v>
      </c>
      <c r="H246" s="8" t="s">
        <v>2</v>
      </c>
      <c r="I246" s="5" t="s">
        <v>557</v>
      </c>
      <c r="J246" s="40" t="s">
        <v>557</v>
      </c>
      <c r="K246" s="12">
        <f t="shared" si="33"/>
        <v>27402</v>
      </c>
      <c r="L246" s="12">
        <f t="shared" si="33"/>
        <v>27402</v>
      </c>
      <c r="M246" s="12">
        <f t="shared" si="27"/>
        <v>100</v>
      </c>
      <c r="N246" s="9"/>
    </row>
    <row r="247" spans="1:14" s="28" customFormat="1" ht="31.5" x14ac:dyDescent="0.2">
      <c r="A247" s="72"/>
      <c r="B247" s="41" t="s">
        <v>297</v>
      </c>
      <c r="C247" s="62">
        <v>902</v>
      </c>
      <c r="D247" s="8" t="s">
        <v>21</v>
      </c>
      <c r="E247" s="8" t="s">
        <v>6</v>
      </c>
      <c r="F247" s="8" t="s">
        <v>115</v>
      </c>
      <c r="G247" s="63">
        <v>2</v>
      </c>
      <c r="H247" s="8" t="s">
        <v>2</v>
      </c>
      <c r="I247" s="8" t="s">
        <v>298</v>
      </c>
      <c r="J247" s="40" t="s">
        <v>557</v>
      </c>
      <c r="K247" s="12">
        <f t="shared" si="33"/>
        <v>27402</v>
      </c>
      <c r="L247" s="12">
        <f t="shared" si="33"/>
        <v>27402</v>
      </c>
      <c r="M247" s="12">
        <f t="shared" si="27"/>
        <v>100</v>
      </c>
      <c r="N247" s="9"/>
    </row>
    <row r="248" spans="1:14" s="28" customFormat="1" ht="18" customHeight="1" x14ac:dyDescent="0.2">
      <c r="A248" s="72"/>
      <c r="B248" s="44" t="s">
        <v>65</v>
      </c>
      <c r="C248" s="62">
        <v>902</v>
      </c>
      <c r="D248" s="8" t="s">
        <v>21</v>
      </c>
      <c r="E248" s="8" t="s">
        <v>6</v>
      </c>
      <c r="F248" s="8" t="s">
        <v>115</v>
      </c>
      <c r="G248" s="63">
        <v>2</v>
      </c>
      <c r="H248" s="8" t="s">
        <v>2</v>
      </c>
      <c r="I248" s="8" t="s">
        <v>298</v>
      </c>
      <c r="J248" s="8" t="s">
        <v>66</v>
      </c>
      <c r="K248" s="12">
        <f>15465+10584+4213.1-2860-450.3-528.4+450.2+528.4</f>
        <v>27402</v>
      </c>
      <c r="L248" s="12">
        <f>15465+10584+4213.1-2860-450.3-528.4+450.2+528.4</f>
        <v>27402</v>
      </c>
      <c r="M248" s="12">
        <f t="shared" si="27"/>
        <v>100</v>
      </c>
      <c r="N248" s="9"/>
    </row>
    <row r="249" spans="1:14" s="28" customFormat="1" x14ac:dyDescent="0.2">
      <c r="A249" s="72"/>
      <c r="B249" s="19" t="s">
        <v>76</v>
      </c>
      <c r="C249" s="62">
        <v>902</v>
      </c>
      <c r="D249" s="8" t="s">
        <v>21</v>
      </c>
      <c r="E249" s="8" t="s">
        <v>30</v>
      </c>
      <c r="F249" s="5" t="s">
        <v>557</v>
      </c>
      <c r="G249" s="40" t="s">
        <v>557</v>
      </c>
      <c r="H249" s="5" t="s">
        <v>557</v>
      </c>
      <c r="I249" s="5" t="s">
        <v>557</v>
      </c>
      <c r="J249" s="40" t="s">
        <v>557</v>
      </c>
      <c r="K249" s="12">
        <f>SUM(K250+K255)</f>
        <v>4546.4000000000005</v>
      </c>
      <c r="L249" s="12">
        <f>SUM(L250+L255)</f>
        <v>4545.7</v>
      </c>
      <c r="M249" s="12">
        <f t="shared" si="27"/>
        <v>99.984603202533862</v>
      </c>
      <c r="N249" s="9"/>
    </row>
    <row r="250" spans="1:14" s="28" customFormat="1" ht="50.25" customHeight="1" x14ac:dyDescent="0.2">
      <c r="A250" s="72"/>
      <c r="B250" s="41" t="s">
        <v>243</v>
      </c>
      <c r="C250" s="62">
        <v>902</v>
      </c>
      <c r="D250" s="8" t="s">
        <v>21</v>
      </c>
      <c r="E250" s="8" t="s">
        <v>30</v>
      </c>
      <c r="F250" s="8" t="s">
        <v>126</v>
      </c>
      <c r="G250" s="40" t="s">
        <v>557</v>
      </c>
      <c r="H250" s="5" t="s">
        <v>557</v>
      </c>
      <c r="I250" s="5" t="s">
        <v>557</v>
      </c>
      <c r="J250" s="40" t="s">
        <v>557</v>
      </c>
      <c r="K250" s="12">
        <f t="shared" ref="K250:L253" si="34">K251</f>
        <v>302</v>
      </c>
      <c r="L250" s="12">
        <f t="shared" si="34"/>
        <v>302</v>
      </c>
      <c r="M250" s="12">
        <f t="shared" si="27"/>
        <v>100</v>
      </c>
      <c r="N250" s="9"/>
    </row>
    <row r="251" spans="1:14" s="28" customFormat="1" ht="63" x14ac:dyDescent="0.2">
      <c r="A251" s="72"/>
      <c r="B251" s="41" t="s">
        <v>244</v>
      </c>
      <c r="C251" s="62">
        <v>902</v>
      </c>
      <c r="D251" s="8" t="s">
        <v>21</v>
      </c>
      <c r="E251" s="8" t="s">
        <v>30</v>
      </c>
      <c r="F251" s="8" t="s">
        <v>126</v>
      </c>
      <c r="G251" s="8" t="s">
        <v>116</v>
      </c>
      <c r="H251" s="5" t="s">
        <v>557</v>
      </c>
      <c r="I251" s="5" t="s">
        <v>557</v>
      </c>
      <c r="J251" s="40" t="s">
        <v>557</v>
      </c>
      <c r="K251" s="12">
        <f t="shared" si="34"/>
        <v>302</v>
      </c>
      <c r="L251" s="12">
        <f t="shared" si="34"/>
        <v>302</v>
      </c>
      <c r="M251" s="12">
        <f t="shared" si="27"/>
        <v>100</v>
      </c>
      <c r="N251" s="9"/>
    </row>
    <row r="252" spans="1:14" s="28" customFormat="1" ht="47.25" x14ac:dyDescent="0.2">
      <c r="A252" s="72"/>
      <c r="B252" s="19" t="s">
        <v>528</v>
      </c>
      <c r="C252" s="62">
        <v>902</v>
      </c>
      <c r="D252" s="8" t="s">
        <v>21</v>
      </c>
      <c r="E252" s="8" t="s">
        <v>30</v>
      </c>
      <c r="F252" s="8" t="s">
        <v>126</v>
      </c>
      <c r="G252" s="8" t="s">
        <v>116</v>
      </c>
      <c r="H252" s="8" t="s">
        <v>5</v>
      </c>
      <c r="I252" s="5" t="s">
        <v>557</v>
      </c>
      <c r="J252" s="40" t="s">
        <v>557</v>
      </c>
      <c r="K252" s="12">
        <f t="shared" si="34"/>
        <v>302</v>
      </c>
      <c r="L252" s="12">
        <f t="shared" si="34"/>
        <v>302</v>
      </c>
      <c r="M252" s="12">
        <f t="shared" si="27"/>
        <v>100</v>
      </c>
      <c r="N252" s="9"/>
    </row>
    <row r="253" spans="1:14" s="28" customFormat="1" ht="94.5" x14ac:dyDescent="0.2">
      <c r="A253" s="72"/>
      <c r="B253" s="19" t="s">
        <v>529</v>
      </c>
      <c r="C253" s="62">
        <v>902</v>
      </c>
      <c r="D253" s="8" t="s">
        <v>21</v>
      </c>
      <c r="E253" s="8" t="s">
        <v>30</v>
      </c>
      <c r="F253" s="8" t="s">
        <v>126</v>
      </c>
      <c r="G253" s="8" t="s">
        <v>116</v>
      </c>
      <c r="H253" s="8" t="s">
        <v>5</v>
      </c>
      <c r="I253" s="8" t="s">
        <v>530</v>
      </c>
      <c r="J253" s="40" t="s">
        <v>557</v>
      </c>
      <c r="K253" s="12">
        <f t="shared" si="34"/>
        <v>302</v>
      </c>
      <c r="L253" s="12">
        <f t="shared" si="34"/>
        <v>302</v>
      </c>
      <c r="M253" s="12">
        <f t="shared" si="27"/>
        <v>100</v>
      </c>
      <c r="N253" s="9"/>
    </row>
    <row r="254" spans="1:14" s="28" customFormat="1" ht="22.5" customHeight="1" x14ac:dyDescent="0.2">
      <c r="A254" s="72"/>
      <c r="B254" s="44" t="s">
        <v>65</v>
      </c>
      <c r="C254" s="62">
        <v>902</v>
      </c>
      <c r="D254" s="8" t="s">
        <v>21</v>
      </c>
      <c r="E254" s="8" t="s">
        <v>30</v>
      </c>
      <c r="F254" s="8" t="s">
        <v>126</v>
      </c>
      <c r="G254" s="8" t="s">
        <v>116</v>
      </c>
      <c r="H254" s="8" t="s">
        <v>5</v>
      </c>
      <c r="I254" s="8" t="s">
        <v>530</v>
      </c>
      <c r="J254" s="8" t="s">
        <v>66</v>
      </c>
      <c r="K254" s="12">
        <f>680-378</f>
        <v>302</v>
      </c>
      <c r="L254" s="12">
        <f>680-378</f>
        <v>302</v>
      </c>
      <c r="M254" s="12">
        <f t="shared" si="27"/>
        <v>100</v>
      </c>
      <c r="N254" s="9"/>
    </row>
    <row r="255" spans="1:14" ht="31.5" x14ac:dyDescent="0.2">
      <c r="A255" s="72"/>
      <c r="B255" s="19" t="s">
        <v>85</v>
      </c>
      <c r="C255" s="62">
        <v>902</v>
      </c>
      <c r="D255" s="8" t="s">
        <v>21</v>
      </c>
      <c r="E255" s="8" t="s">
        <v>30</v>
      </c>
      <c r="F255" s="8">
        <v>52</v>
      </c>
      <c r="G255" s="40" t="s">
        <v>557</v>
      </c>
      <c r="H255" s="5" t="s">
        <v>557</v>
      </c>
      <c r="I255" s="5" t="s">
        <v>557</v>
      </c>
      <c r="J255" s="40" t="s">
        <v>557</v>
      </c>
      <c r="K255" s="12">
        <f>SUM(K256)</f>
        <v>4244.4000000000005</v>
      </c>
      <c r="L255" s="12">
        <f>SUM(L256)</f>
        <v>4243.7</v>
      </c>
      <c r="M255" s="12">
        <f t="shared" si="27"/>
        <v>99.983507680708684</v>
      </c>
    </row>
    <row r="256" spans="1:14" ht="31.5" x14ac:dyDescent="0.2">
      <c r="A256" s="72"/>
      <c r="B256" s="19" t="s">
        <v>61</v>
      </c>
      <c r="C256" s="62">
        <v>902</v>
      </c>
      <c r="D256" s="8" t="s">
        <v>21</v>
      </c>
      <c r="E256" s="8" t="s">
        <v>30</v>
      </c>
      <c r="F256" s="8" t="s">
        <v>104</v>
      </c>
      <c r="G256" s="63">
        <v>2</v>
      </c>
      <c r="H256" s="5" t="s">
        <v>557</v>
      </c>
      <c r="I256" s="5" t="s">
        <v>557</v>
      </c>
      <c r="J256" s="40" t="s">
        <v>557</v>
      </c>
      <c r="K256" s="12">
        <f>SUM(K259+K257)</f>
        <v>4244.4000000000005</v>
      </c>
      <c r="L256" s="12">
        <f>SUM(L259+L257)</f>
        <v>4243.7</v>
      </c>
      <c r="M256" s="12">
        <f t="shared" si="27"/>
        <v>99.983507680708684</v>
      </c>
    </row>
    <row r="257" spans="1:14" ht="63" x14ac:dyDescent="0.2">
      <c r="A257" s="72"/>
      <c r="B257" s="19" t="s">
        <v>542</v>
      </c>
      <c r="C257" s="62">
        <v>902</v>
      </c>
      <c r="D257" s="8" t="s">
        <v>21</v>
      </c>
      <c r="E257" s="8" t="s">
        <v>30</v>
      </c>
      <c r="F257" s="8" t="s">
        <v>104</v>
      </c>
      <c r="G257" s="63">
        <v>2</v>
      </c>
      <c r="H257" s="8" t="s">
        <v>97</v>
      </c>
      <c r="I257" s="8" t="s">
        <v>541</v>
      </c>
      <c r="J257" s="40" t="s">
        <v>557</v>
      </c>
      <c r="K257" s="12">
        <f>K258</f>
        <v>139.6</v>
      </c>
      <c r="L257" s="12">
        <f>L258</f>
        <v>139.6</v>
      </c>
      <c r="M257" s="12">
        <f t="shared" si="27"/>
        <v>100</v>
      </c>
    </row>
    <row r="258" spans="1:14" ht="78.75" x14ac:dyDescent="0.2">
      <c r="A258" s="72"/>
      <c r="B258" s="19" t="s">
        <v>163</v>
      </c>
      <c r="C258" s="62">
        <v>902</v>
      </c>
      <c r="D258" s="8" t="s">
        <v>21</v>
      </c>
      <c r="E258" s="8" t="s">
        <v>30</v>
      </c>
      <c r="F258" s="8" t="s">
        <v>104</v>
      </c>
      <c r="G258" s="63">
        <v>2</v>
      </c>
      <c r="H258" s="8" t="s">
        <v>97</v>
      </c>
      <c r="I258" s="8" t="s">
        <v>541</v>
      </c>
      <c r="J258" s="8" t="s">
        <v>55</v>
      </c>
      <c r="K258" s="12">
        <v>139.6</v>
      </c>
      <c r="L258" s="12">
        <v>139.6</v>
      </c>
      <c r="M258" s="12">
        <f t="shared" si="27"/>
        <v>100</v>
      </c>
    </row>
    <row r="259" spans="1:14" s="28" customFormat="1" ht="63" x14ac:dyDescent="0.2">
      <c r="A259" s="72"/>
      <c r="B259" s="19" t="s">
        <v>78</v>
      </c>
      <c r="C259" s="62">
        <v>902</v>
      </c>
      <c r="D259" s="8" t="s">
        <v>21</v>
      </c>
      <c r="E259" s="8" t="s">
        <v>30</v>
      </c>
      <c r="F259" s="8" t="s">
        <v>104</v>
      </c>
      <c r="G259" s="63">
        <v>2</v>
      </c>
      <c r="H259" s="8" t="s">
        <v>97</v>
      </c>
      <c r="I259" s="8" t="s">
        <v>387</v>
      </c>
      <c r="J259" s="40" t="s">
        <v>557</v>
      </c>
      <c r="K259" s="12">
        <f>SUM(K260:K261)</f>
        <v>4104.8</v>
      </c>
      <c r="L259" s="12">
        <f>SUM(L260:L261)</f>
        <v>4104.0999999999995</v>
      </c>
      <c r="M259" s="12">
        <f t="shared" si="27"/>
        <v>99.982946793997257</v>
      </c>
      <c r="N259" s="9"/>
    </row>
    <row r="260" spans="1:14" s="28" customFormat="1" ht="78.75" x14ac:dyDescent="0.2">
      <c r="A260" s="72"/>
      <c r="B260" s="19" t="s">
        <v>163</v>
      </c>
      <c r="C260" s="62">
        <v>902</v>
      </c>
      <c r="D260" s="8" t="s">
        <v>21</v>
      </c>
      <c r="E260" s="8" t="s">
        <v>30</v>
      </c>
      <c r="F260" s="8" t="s">
        <v>104</v>
      </c>
      <c r="G260" s="63">
        <v>2</v>
      </c>
      <c r="H260" s="8" t="s">
        <v>97</v>
      </c>
      <c r="I260" s="8" t="s">
        <v>387</v>
      </c>
      <c r="J260" s="8" t="s">
        <v>55</v>
      </c>
      <c r="K260" s="12">
        <v>4022.2</v>
      </c>
      <c r="L260" s="12">
        <v>4022.2</v>
      </c>
      <c r="M260" s="12">
        <f t="shared" si="27"/>
        <v>100</v>
      </c>
      <c r="N260" s="9"/>
    </row>
    <row r="261" spans="1:14" s="28" customFormat="1" ht="31.5" x14ac:dyDescent="0.2">
      <c r="A261" s="69"/>
      <c r="B261" s="19" t="s">
        <v>164</v>
      </c>
      <c r="C261" s="62">
        <v>902</v>
      </c>
      <c r="D261" s="8" t="s">
        <v>21</v>
      </c>
      <c r="E261" s="8" t="s">
        <v>30</v>
      </c>
      <c r="F261" s="8" t="s">
        <v>104</v>
      </c>
      <c r="G261" s="63">
        <v>2</v>
      </c>
      <c r="H261" s="8" t="s">
        <v>97</v>
      </c>
      <c r="I261" s="8" t="s">
        <v>387</v>
      </c>
      <c r="J261" s="8" t="s">
        <v>57</v>
      </c>
      <c r="K261" s="12">
        <v>82.6</v>
      </c>
      <c r="L261" s="12">
        <v>81.900000000000006</v>
      </c>
      <c r="M261" s="12">
        <f t="shared" si="27"/>
        <v>99.152542372881371</v>
      </c>
      <c r="N261" s="9"/>
    </row>
    <row r="262" spans="1:14" s="28" customFormat="1" ht="33" customHeight="1" x14ac:dyDescent="0.2">
      <c r="A262" s="81">
        <v>3</v>
      </c>
      <c r="B262" s="19" t="s">
        <v>44</v>
      </c>
      <c r="C262" s="63">
        <v>905</v>
      </c>
      <c r="D262" s="40" t="s">
        <v>557</v>
      </c>
      <c r="E262" s="40" t="s">
        <v>557</v>
      </c>
      <c r="F262" s="5" t="s">
        <v>557</v>
      </c>
      <c r="G262" s="40" t="s">
        <v>557</v>
      </c>
      <c r="H262" s="5" t="s">
        <v>557</v>
      </c>
      <c r="I262" s="5" t="s">
        <v>557</v>
      </c>
      <c r="J262" s="40" t="s">
        <v>557</v>
      </c>
      <c r="K262" s="12">
        <f>SUM(K263+K290+K317+K310+K303+K297)</f>
        <v>336920.19999999995</v>
      </c>
      <c r="L262" s="12">
        <f>SUM(L263+L290+L317+L310+L303+L297)</f>
        <v>326952.40000000002</v>
      </c>
      <c r="M262" s="12">
        <f t="shared" si="27"/>
        <v>97.041495285827352</v>
      </c>
      <c r="N262" s="9"/>
    </row>
    <row r="263" spans="1:14" s="28" customFormat="1" x14ac:dyDescent="0.2">
      <c r="A263" s="82"/>
      <c r="B263" s="19" t="s">
        <v>1</v>
      </c>
      <c r="C263" s="63">
        <v>905</v>
      </c>
      <c r="D263" s="8" t="s">
        <v>2</v>
      </c>
      <c r="E263" s="40" t="s">
        <v>557</v>
      </c>
      <c r="F263" s="5" t="s">
        <v>557</v>
      </c>
      <c r="G263" s="40" t="s">
        <v>557</v>
      </c>
      <c r="H263" s="5" t="s">
        <v>557</v>
      </c>
      <c r="I263" s="5" t="s">
        <v>557</v>
      </c>
      <c r="J263" s="40" t="s">
        <v>557</v>
      </c>
      <c r="K263" s="12">
        <f>SUM(K264+K273+K278)</f>
        <v>45020.100000000006</v>
      </c>
      <c r="L263" s="12">
        <f>SUM(L264+L273+L278)</f>
        <v>35154.400000000001</v>
      </c>
      <c r="M263" s="12">
        <f t="shared" si="27"/>
        <v>78.086010470878549</v>
      </c>
      <c r="N263" s="9"/>
    </row>
    <row r="264" spans="1:14" s="28" customFormat="1" ht="47.25" x14ac:dyDescent="0.2">
      <c r="A264" s="82"/>
      <c r="B264" s="19" t="s">
        <v>45</v>
      </c>
      <c r="C264" s="63">
        <v>905</v>
      </c>
      <c r="D264" s="8" t="s">
        <v>2</v>
      </c>
      <c r="E264" s="8" t="s">
        <v>30</v>
      </c>
      <c r="F264" s="5" t="s">
        <v>557</v>
      </c>
      <c r="G264" s="40" t="s">
        <v>557</v>
      </c>
      <c r="H264" s="5" t="s">
        <v>557</v>
      </c>
      <c r="I264" s="5" t="s">
        <v>557</v>
      </c>
      <c r="J264" s="40" t="s">
        <v>557</v>
      </c>
      <c r="K264" s="12">
        <f t="shared" ref="K264:L265" si="35">SUM(K265)</f>
        <v>29734</v>
      </c>
      <c r="L264" s="12">
        <f t="shared" si="35"/>
        <v>29236.7</v>
      </c>
      <c r="M264" s="12">
        <f t="shared" ref="M264:M327" si="36">SUM(L264/K264*100)</f>
        <v>98.327503867626291</v>
      </c>
      <c r="N264" s="9"/>
    </row>
    <row r="265" spans="1:14" s="28" customFormat="1" ht="47.25" x14ac:dyDescent="0.2">
      <c r="A265" s="82"/>
      <c r="B265" s="19" t="s">
        <v>80</v>
      </c>
      <c r="C265" s="63">
        <v>905</v>
      </c>
      <c r="D265" s="8" t="s">
        <v>2</v>
      </c>
      <c r="E265" s="8" t="s">
        <v>30</v>
      </c>
      <c r="F265" s="8" t="s">
        <v>131</v>
      </c>
      <c r="G265" s="40" t="s">
        <v>557</v>
      </c>
      <c r="H265" s="5" t="s">
        <v>557</v>
      </c>
      <c r="I265" s="5" t="s">
        <v>557</v>
      </c>
      <c r="J265" s="40" t="s">
        <v>557</v>
      </c>
      <c r="K265" s="12">
        <f t="shared" si="35"/>
        <v>29734</v>
      </c>
      <c r="L265" s="12">
        <f t="shared" si="35"/>
        <v>29236.7</v>
      </c>
      <c r="M265" s="12">
        <f t="shared" si="36"/>
        <v>98.327503867626291</v>
      </c>
      <c r="N265" s="9"/>
    </row>
    <row r="266" spans="1:14" s="28" customFormat="1" ht="47.25" x14ac:dyDescent="0.2">
      <c r="A266" s="82"/>
      <c r="B266" s="19" t="s">
        <v>132</v>
      </c>
      <c r="C266" s="63">
        <v>905</v>
      </c>
      <c r="D266" s="8" t="s">
        <v>2</v>
      </c>
      <c r="E266" s="8" t="s">
        <v>30</v>
      </c>
      <c r="F266" s="8" t="s">
        <v>131</v>
      </c>
      <c r="G266" s="63">
        <v>1</v>
      </c>
      <c r="H266" s="5" t="s">
        <v>557</v>
      </c>
      <c r="I266" s="5" t="s">
        <v>557</v>
      </c>
      <c r="J266" s="40" t="s">
        <v>557</v>
      </c>
      <c r="K266" s="12">
        <f>SUM(K267+K271)</f>
        <v>29734</v>
      </c>
      <c r="L266" s="12">
        <f>SUM(L267+L271)</f>
        <v>29236.7</v>
      </c>
      <c r="M266" s="12">
        <f t="shared" si="36"/>
        <v>98.327503867626291</v>
      </c>
      <c r="N266" s="9"/>
    </row>
    <row r="267" spans="1:14" s="28" customFormat="1" ht="31.5" x14ac:dyDescent="0.2">
      <c r="A267" s="82"/>
      <c r="B267" s="19" t="s">
        <v>53</v>
      </c>
      <c r="C267" s="63">
        <v>905</v>
      </c>
      <c r="D267" s="8" t="s">
        <v>2</v>
      </c>
      <c r="E267" s="8" t="s">
        <v>30</v>
      </c>
      <c r="F267" s="8" t="s">
        <v>131</v>
      </c>
      <c r="G267" s="63">
        <v>1</v>
      </c>
      <c r="H267" s="8" t="s">
        <v>97</v>
      </c>
      <c r="I267" s="8" t="s">
        <v>99</v>
      </c>
      <c r="J267" s="40" t="s">
        <v>557</v>
      </c>
      <c r="K267" s="12">
        <f>SUM(K268:K270)</f>
        <v>29715</v>
      </c>
      <c r="L267" s="12">
        <f>SUM(L268:L270)</f>
        <v>29217.7</v>
      </c>
      <c r="M267" s="12">
        <f t="shared" si="36"/>
        <v>98.326434460710075</v>
      </c>
      <c r="N267" s="9"/>
    </row>
    <row r="268" spans="1:14" s="28" customFormat="1" ht="47.25" customHeight="1" x14ac:dyDescent="0.2">
      <c r="A268" s="82"/>
      <c r="B268" s="19" t="s">
        <v>54</v>
      </c>
      <c r="C268" s="63">
        <v>905</v>
      </c>
      <c r="D268" s="8" t="s">
        <v>2</v>
      </c>
      <c r="E268" s="8" t="s">
        <v>30</v>
      </c>
      <c r="F268" s="8" t="s">
        <v>131</v>
      </c>
      <c r="G268" s="63">
        <v>1</v>
      </c>
      <c r="H268" s="8" t="s">
        <v>97</v>
      </c>
      <c r="I268" s="8" t="s">
        <v>99</v>
      </c>
      <c r="J268" s="8" t="s">
        <v>55</v>
      </c>
      <c r="K268" s="12">
        <v>29075.7</v>
      </c>
      <c r="L268" s="12">
        <v>28742.5</v>
      </c>
      <c r="M268" s="12">
        <f t="shared" si="36"/>
        <v>98.854025870400363</v>
      </c>
      <c r="N268" s="9"/>
    </row>
    <row r="269" spans="1:14" s="28" customFormat="1" ht="31.5" x14ac:dyDescent="0.2">
      <c r="A269" s="82"/>
      <c r="B269" s="19" t="s">
        <v>164</v>
      </c>
      <c r="C269" s="63">
        <v>905</v>
      </c>
      <c r="D269" s="8" t="s">
        <v>2</v>
      </c>
      <c r="E269" s="8" t="s">
        <v>30</v>
      </c>
      <c r="F269" s="8" t="s">
        <v>131</v>
      </c>
      <c r="G269" s="63">
        <v>1</v>
      </c>
      <c r="H269" s="8" t="s">
        <v>97</v>
      </c>
      <c r="I269" s="8" t="s">
        <v>99</v>
      </c>
      <c r="J269" s="8" t="s">
        <v>57</v>
      </c>
      <c r="K269" s="12">
        <v>635.29999999999995</v>
      </c>
      <c r="L269" s="12">
        <v>475.2</v>
      </c>
      <c r="M269" s="12">
        <f t="shared" si="36"/>
        <v>74.799307413820245</v>
      </c>
      <c r="N269" s="9"/>
    </row>
    <row r="270" spans="1:14" s="28" customFormat="1" x14ac:dyDescent="0.2">
      <c r="A270" s="82"/>
      <c r="B270" s="19" t="s">
        <v>59</v>
      </c>
      <c r="C270" s="63">
        <v>905</v>
      </c>
      <c r="D270" s="8" t="s">
        <v>2</v>
      </c>
      <c r="E270" s="8" t="s">
        <v>30</v>
      </c>
      <c r="F270" s="8" t="s">
        <v>131</v>
      </c>
      <c r="G270" s="63">
        <v>1</v>
      </c>
      <c r="H270" s="8" t="s">
        <v>97</v>
      </c>
      <c r="I270" s="8" t="s">
        <v>99</v>
      </c>
      <c r="J270" s="8" t="s">
        <v>60</v>
      </c>
      <c r="K270" s="12">
        <v>4</v>
      </c>
      <c r="L270" s="12">
        <v>0</v>
      </c>
      <c r="M270" s="12">
        <f t="shared" si="36"/>
        <v>0</v>
      </c>
      <c r="N270" s="9"/>
    </row>
    <row r="271" spans="1:14" s="28" customFormat="1" ht="94.5" x14ac:dyDescent="0.2">
      <c r="A271" s="82"/>
      <c r="B271" s="19" t="s">
        <v>526</v>
      </c>
      <c r="C271" s="63">
        <v>905</v>
      </c>
      <c r="D271" s="8" t="s">
        <v>2</v>
      </c>
      <c r="E271" s="8" t="s">
        <v>30</v>
      </c>
      <c r="F271" s="8" t="s">
        <v>131</v>
      </c>
      <c r="G271" s="63">
        <v>1</v>
      </c>
      <c r="H271" s="8" t="s">
        <v>97</v>
      </c>
      <c r="I271" s="8" t="s">
        <v>527</v>
      </c>
      <c r="J271" s="40" t="s">
        <v>557</v>
      </c>
      <c r="K271" s="12">
        <f>SUM(K272)</f>
        <v>19</v>
      </c>
      <c r="L271" s="12">
        <f>SUM(L272)</f>
        <v>19</v>
      </c>
      <c r="M271" s="12">
        <f t="shared" ref="M271:M272" si="37">SUM(L271/K271*100)</f>
        <v>100</v>
      </c>
      <c r="N271" s="9"/>
    </row>
    <row r="272" spans="1:14" s="28" customFormat="1" ht="31.5" x14ac:dyDescent="0.2">
      <c r="A272" s="82"/>
      <c r="B272" s="19" t="s">
        <v>164</v>
      </c>
      <c r="C272" s="63">
        <v>905</v>
      </c>
      <c r="D272" s="8" t="s">
        <v>2</v>
      </c>
      <c r="E272" s="8" t="s">
        <v>30</v>
      </c>
      <c r="F272" s="8" t="s">
        <v>131</v>
      </c>
      <c r="G272" s="63">
        <v>1</v>
      </c>
      <c r="H272" s="8" t="s">
        <v>97</v>
      </c>
      <c r="I272" s="8" t="s">
        <v>527</v>
      </c>
      <c r="J272" s="8" t="s">
        <v>57</v>
      </c>
      <c r="K272" s="12">
        <v>19</v>
      </c>
      <c r="L272" s="12">
        <v>19</v>
      </c>
      <c r="M272" s="12">
        <f t="shared" si="37"/>
        <v>100</v>
      </c>
      <c r="N272" s="9"/>
    </row>
    <row r="273" spans="1:14" s="28" customFormat="1" x14ac:dyDescent="0.2">
      <c r="A273" s="82"/>
      <c r="B273" s="19" t="s">
        <v>442</v>
      </c>
      <c r="C273" s="62">
        <v>905</v>
      </c>
      <c r="D273" s="61" t="s">
        <v>2</v>
      </c>
      <c r="E273" s="61" t="s">
        <v>23</v>
      </c>
      <c r="F273" s="5" t="s">
        <v>557</v>
      </c>
      <c r="G273" s="40" t="s">
        <v>557</v>
      </c>
      <c r="H273" s="5" t="s">
        <v>557</v>
      </c>
      <c r="I273" s="5" t="s">
        <v>557</v>
      </c>
      <c r="J273" s="40" t="s">
        <v>557</v>
      </c>
      <c r="K273" s="12">
        <f>SUM(K274)</f>
        <v>9353.2999999999993</v>
      </c>
      <c r="L273" s="12">
        <f>SUM(L274)</f>
        <v>0</v>
      </c>
      <c r="M273" s="12">
        <f t="shared" si="36"/>
        <v>0</v>
      </c>
      <c r="N273" s="9"/>
    </row>
    <row r="274" spans="1:14" s="28" customFormat="1" ht="47.25" x14ac:dyDescent="0.2">
      <c r="A274" s="82"/>
      <c r="B274" s="19" t="s">
        <v>80</v>
      </c>
      <c r="C274" s="62">
        <v>905</v>
      </c>
      <c r="D274" s="8" t="s">
        <v>2</v>
      </c>
      <c r="E274" s="8" t="s">
        <v>23</v>
      </c>
      <c r="F274" s="8" t="s">
        <v>131</v>
      </c>
      <c r="G274" s="40" t="s">
        <v>557</v>
      </c>
      <c r="H274" s="5" t="s">
        <v>557</v>
      </c>
      <c r="I274" s="5" t="s">
        <v>557</v>
      </c>
      <c r="J274" s="40" t="s">
        <v>557</v>
      </c>
      <c r="K274" s="12">
        <f t="shared" ref="K274:L275" si="38">SUM(K275)</f>
        <v>9353.2999999999993</v>
      </c>
      <c r="L274" s="12">
        <f t="shared" si="38"/>
        <v>0</v>
      </c>
      <c r="M274" s="12">
        <f t="shared" si="36"/>
        <v>0</v>
      </c>
      <c r="N274" s="9"/>
    </row>
    <row r="275" spans="1:14" s="28" customFormat="1" ht="19.5" customHeight="1" x14ac:dyDescent="0.2">
      <c r="A275" s="82"/>
      <c r="B275" s="19" t="s">
        <v>63</v>
      </c>
      <c r="C275" s="62">
        <v>905</v>
      </c>
      <c r="D275" s="8" t="s">
        <v>2</v>
      </c>
      <c r="E275" s="8" t="s">
        <v>23</v>
      </c>
      <c r="F275" s="8" t="s">
        <v>131</v>
      </c>
      <c r="G275" s="63">
        <v>2</v>
      </c>
      <c r="H275" s="5" t="s">
        <v>557</v>
      </c>
      <c r="I275" s="5" t="s">
        <v>557</v>
      </c>
      <c r="J275" s="40" t="s">
        <v>557</v>
      </c>
      <c r="K275" s="12">
        <f t="shared" si="38"/>
        <v>9353.2999999999993</v>
      </c>
      <c r="L275" s="12">
        <f t="shared" si="38"/>
        <v>0</v>
      </c>
      <c r="M275" s="12">
        <f t="shared" si="36"/>
        <v>0</v>
      </c>
      <c r="N275" s="9"/>
    </row>
    <row r="276" spans="1:14" s="28" customFormat="1" ht="33.75" customHeight="1" x14ac:dyDescent="0.2">
      <c r="A276" s="82"/>
      <c r="B276" s="19" t="s">
        <v>79</v>
      </c>
      <c r="C276" s="62">
        <v>905</v>
      </c>
      <c r="D276" s="8" t="s">
        <v>2</v>
      </c>
      <c r="E276" s="8" t="s">
        <v>23</v>
      </c>
      <c r="F276" s="8" t="s">
        <v>131</v>
      </c>
      <c r="G276" s="63">
        <v>2</v>
      </c>
      <c r="H276" s="8" t="s">
        <v>97</v>
      </c>
      <c r="I276" s="8" t="s">
        <v>133</v>
      </c>
      <c r="J276" s="40" t="s">
        <v>557</v>
      </c>
      <c r="K276" s="12">
        <f>SUM(K277)</f>
        <v>9353.2999999999993</v>
      </c>
      <c r="L276" s="12">
        <f>SUM(L277)</f>
        <v>0</v>
      </c>
      <c r="M276" s="12">
        <f t="shared" si="36"/>
        <v>0</v>
      </c>
      <c r="N276" s="9"/>
    </row>
    <row r="277" spans="1:14" s="28" customFormat="1" x14ac:dyDescent="0.2">
      <c r="A277" s="82"/>
      <c r="B277" s="19" t="s">
        <v>59</v>
      </c>
      <c r="C277" s="62">
        <v>905</v>
      </c>
      <c r="D277" s="8" t="s">
        <v>2</v>
      </c>
      <c r="E277" s="8" t="s">
        <v>23</v>
      </c>
      <c r="F277" s="8" t="s">
        <v>131</v>
      </c>
      <c r="G277" s="63">
        <v>2</v>
      </c>
      <c r="H277" s="8" t="s">
        <v>97</v>
      </c>
      <c r="I277" s="8" t="s">
        <v>133</v>
      </c>
      <c r="J277" s="8" t="s">
        <v>60</v>
      </c>
      <c r="K277" s="12">
        <v>9353.2999999999993</v>
      </c>
      <c r="L277" s="12">
        <v>0</v>
      </c>
      <c r="M277" s="12">
        <f t="shared" si="36"/>
        <v>0</v>
      </c>
      <c r="N277" s="9"/>
    </row>
    <row r="278" spans="1:14" s="28" customFormat="1" x14ac:dyDescent="0.2">
      <c r="A278" s="82"/>
      <c r="B278" s="19" t="s">
        <v>9</v>
      </c>
      <c r="C278" s="62">
        <v>905</v>
      </c>
      <c r="D278" s="8" t="s">
        <v>2</v>
      </c>
      <c r="E278" s="8" t="s">
        <v>41</v>
      </c>
      <c r="F278" s="5" t="s">
        <v>557</v>
      </c>
      <c r="G278" s="40" t="s">
        <v>557</v>
      </c>
      <c r="H278" s="5" t="s">
        <v>557</v>
      </c>
      <c r="I278" s="5" t="s">
        <v>557</v>
      </c>
      <c r="J278" s="40" t="s">
        <v>557</v>
      </c>
      <c r="K278" s="12">
        <f>K279+K286</f>
        <v>5932.7999999999993</v>
      </c>
      <c r="L278" s="12">
        <f>L279+L286</f>
        <v>5917.7</v>
      </c>
      <c r="M278" s="12">
        <f t="shared" si="36"/>
        <v>99.745482740021586</v>
      </c>
      <c r="N278" s="9"/>
    </row>
    <row r="279" spans="1:14" s="28" customFormat="1" ht="48" customHeight="1" x14ac:dyDescent="0.2">
      <c r="A279" s="82"/>
      <c r="B279" s="19" t="s">
        <v>231</v>
      </c>
      <c r="C279" s="62">
        <v>905</v>
      </c>
      <c r="D279" s="8" t="s">
        <v>2</v>
      </c>
      <c r="E279" s="8" t="s">
        <v>41</v>
      </c>
      <c r="F279" s="8" t="s">
        <v>8</v>
      </c>
      <c r="G279" s="40" t="s">
        <v>557</v>
      </c>
      <c r="H279" s="5" t="s">
        <v>557</v>
      </c>
      <c r="I279" s="5" t="s">
        <v>557</v>
      </c>
      <c r="J279" s="40" t="s">
        <v>557</v>
      </c>
      <c r="K279" s="12">
        <f>SUM(K280)</f>
        <v>470.40000000000003</v>
      </c>
      <c r="L279" s="12">
        <f>SUM(L280)</f>
        <v>455.3</v>
      </c>
      <c r="M279" s="12">
        <f t="shared" si="36"/>
        <v>96.789965986394549</v>
      </c>
      <c r="N279" s="9"/>
    </row>
    <row r="280" spans="1:14" s="28" customFormat="1" ht="63" x14ac:dyDescent="0.2">
      <c r="A280" s="82"/>
      <c r="B280" s="19" t="s">
        <v>232</v>
      </c>
      <c r="C280" s="62">
        <v>905</v>
      </c>
      <c r="D280" s="8" t="s">
        <v>2</v>
      </c>
      <c r="E280" s="8" t="s">
        <v>41</v>
      </c>
      <c r="F280" s="8" t="s">
        <v>8</v>
      </c>
      <c r="G280" s="63">
        <v>1</v>
      </c>
      <c r="H280" s="5" t="s">
        <v>557</v>
      </c>
      <c r="I280" s="5" t="s">
        <v>557</v>
      </c>
      <c r="J280" s="40" t="s">
        <v>557</v>
      </c>
      <c r="K280" s="12">
        <f>SUM(K281)</f>
        <v>470.40000000000003</v>
      </c>
      <c r="L280" s="12">
        <f>SUM(L281)</f>
        <v>455.3</v>
      </c>
      <c r="M280" s="12">
        <f t="shared" si="36"/>
        <v>96.789965986394549</v>
      </c>
      <c r="N280" s="9"/>
    </row>
    <row r="281" spans="1:14" s="28" customFormat="1" ht="33.75" customHeight="1" x14ac:dyDescent="0.2">
      <c r="A281" s="82"/>
      <c r="B281" s="19" t="s">
        <v>117</v>
      </c>
      <c r="C281" s="62">
        <v>905</v>
      </c>
      <c r="D281" s="8" t="s">
        <v>2</v>
      </c>
      <c r="E281" s="8" t="s">
        <v>41</v>
      </c>
      <c r="F281" s="8" t="s">
        <v>8</v>
      </c>
      <c r="G281" s="63">
        <v>1</v>
      </c>
      <c r="H281" s="8" t="s">
        <v>4</v>
      </c>
      <c r="I281" s="5" t="s">
        <v>557</v>
      </c>
      <c r="J281" s="40" t="s">
        <v>557</v>
      </c>
      <c r="K281" s="12">
        <f>SUM(K282+K284)</f>
        <v>470.40000000000003</v>
      </c>
      <c r="L281" s="12">
        <f>SUM(L282+L284)</f>
        <v>455.3</v>
      </c>
      <c r="M281" s="12">
        <f t="shared" si="36"/>
        <v>96.789965986394549</v>
      </c>
      <c r="N281" s="9"/>
    </row>
    <row r="282" spans="1:14" s="28" customFormat="1" ht="31.5" x14ac:dyDescent="0.2">
      <c r="A282" s="82"/>
      <c r="B282" s="19" t="s">
        <v>374</v>
      </c>
      <c r="C282" s="62">
        <v>905</v>
      </c>
      <c r="D282" s="8" t="s">
        <v>2</v>
      </c>
      <c r="E282" s="8" t="s">
        <v>41</v>
      </c>
      <c r="F282" s="8" t="s">
        <v>8</v>
      </c>
      <c r="G282" s="63">
        <v>1</v>
      </c>
      <c r="H282" s="8" t="s">
        <v>4</v>
      </c>
      <c r="I282" s="8" t="s">
        <v>373</v>
      </c>
      <c r="J282" s="40" t="s">
        <v>557</v>
      </c>
      <c r="K282" s="12">
        <f>K283</f>
        <v>126.8</v>
      </c>
      <c r="L282" s="12">
        <f>L283</f>
        <v>111.8</v>
      </c>
      <c r="M282" s="12">
        <f t="shared" si="36"/>
        <v>88.170347003154575</v>
      </c>
      <c r="N282" s="9"/>
    </row>
    <row r="283" spans="1:14" s="28" customFormat="1" ht="31.5" x14ac:dyDescent="0.2">
      <c r="A283" s="82"/>
      <c r="B283" s="19" t="s">
        <v>164</v>
      </c>
      <c r="C283" s="62">
        <v>905</v>
      </c>
      <c r="D283" s="8" t="s">
        <v>2</v>
      </c>
      <c r="E283" s="8" t="s">
        <v>41</v>
      </c>
      <c r="F283" s="8" t="s">
        <v>8</v>
      </c>
      <c r="G283" s="63">
        <v>1</v>
      </c>
      <c r="H283" s="8" t="s">
        <v>4</v>
      </c>
      <c r="I283" s="8" t="s">
        <v>373</v>
      </c>
      <c r="J283" s="8" t="s">
        <v>57</v>
      </c>
      <c r="K283" s="12">
        <v>126.8</v>
      </c>
      <c r="L283" s="12">
        <v>111.8</v>
      </c>
      <c r="M283" s="12">
        <f t="shared" si="36"/>
        <v>88.170347003154575</v>
      </c>
      <c r="N283" s="9"/>
    </row>
    <row r="284" spans="1:14" s="28" customFormat="1" ht="47.25" x14ac:dyDescent="0.2">
      <c r="A284" s="82"/>
      <c r="B284" s="19" t="s">
        <v>378</v>
      </c>
      <c r="C284" s="62">
        <v>905</v>
      </c>
      <c r="D284" s="8" t="s">
        <v>2</v>
      </c>
      <c r="E284" s="8" t="s">
        <v>41</v>
      </c>
      <c r="F284" s="8" t="s">
        <v>8</v>
      </c>
      <c r="G284" s="63">
        <v>1</v>
      </c>
      <c r="H284" s="8" t="s">
        <v>4</v>
      </c>
      <c r="I284" s="8" t="s">
        <v>379</v>
      </c>
      <c r="J284" s="40" t="s">
        <v>557</v>
      </c>
      <c r="K284" s="12">
        <f>K285</f>
        <v>343.6</v>
      </c>
      <c r="L284" s="12">
        <f>L285</f>
        <v>343.5</v>
      </c>
      <c r="M284" s="12">
        <f t="shared" si="36"/>
        <v>99.970896391152493</v>
      </c>
      <c r="N284" s="9"/>
    </row>
    <row r="285" spans="1:14" s="28" customFormat="1" ht="31.5" x14ac:dyDescent="0.2">
      <c r="A285" s="82"/>
      <c r="B285" s="19" t="s">
        <v>164</v>
      </c>
      <c r="C285" s="62">
        <v>905</v>
      </c>
      <c r="D285" s="8" t="s">
        <v>2</v>
      </c>
      <c r="E285" s="8" t="s">
        <v>41</v>
      </c>
      <c r="F285" s="8" t="s">
        <v>8</v>
      </c>
      <c r="G285" s="63">
        <v>1</v>
      </c>
      <c r="H285" s="8" t="s">
        <v>4</v>
      </c>
      <c r="I285" s="8" t="s">
        <v>379</v>
      </c>
      <c r="J285" s="8" t="s">
        <v>57</v>
      </c>
      <c r="K285" s="12">
        <v>343.6</v>
      </c>
      <c r="L285" s="12">
        <v>343.5</v>
      </c>
      <c r="M285" s="12">
        <f t="shared" si="36"/>
        <v>99.970896391152493</v>
      </c>
      <c r="N285" s="9"/>
    </row>
    <row r="286" spans="1:14" s="28" customFormat="1" ht="47.25" x14ac:dyDescent="0.2">
      <c r="A286" s="82"/>
      <c r="B286" s="19" t="s">
        <v>80</v>
      </c>
      <c r="C286" s="62">
        <v>905</v>
      </c>
      <c r="D286" s="8" t="s">
        <v>2</v>
      </c>
      <c r="E286" s="8" t="s">
        <v>41</v>
      </c>
      <c r="F286" s="8" t="s">
        <v>131</v>
      </c>
      <c r="G286" s="40" t="s">
        <v>557</v>
      </c>
      <c r="H286" s="5" t="s">
        <v>557</v>
      </c>
      <c r="I286" s="5" t="s">
        <v>557</v>
      </c>
      <c r="J286" s="40" t="s">
        <v>557</v>
      </c>
      <c r="K286" s="12">
        <f t="shared" ref="K286:L288" si="39">K287</f>
        <v>5462.4</v>
      </c>
      <c r="L286" s="12">
        <f t="shared" si="39"/>
        <v>5462.4</v>
      </c>
      <c r="M286" s="12">
        <f t="shared" si="36"/>
        <v>100</v>
      </c>
      <c r="N286" s="9"/>
    </row>
    <row r="287" spans="1:14" s="28" customFormat="1" ht="17.25" customHeight="1" x14ac:dyDescent="0.2">
      <c r="A287" s="82"/>
      <c r="B287" s="19" t="s">
        <v>63</v>
      </c>
      <c r="C287" s="62">
        <v>905</v>
      </c>
      <c r="D287" s="8" t="s">
        <v>2</v>
      </c>
      <c r="E287" s="8" t="s">
        <v>41</v>
      </c>
      <c r="F287" s="8" t="s">
        <v>131</v>
      </c>
      <c r="G287" s="63">
        <v>2</v>
      </c>
      <c r="H287" s="5" t="s">
        <v>557</v>
      </c>
      <c r="I287" s="5" t="s">
        <v>557</v>
      </c>
      <c r="J287" s="40" t="s">
        <v>557</v>
      </c>
      <c r="K287" s="12">
        <f t="shared" si="39"/>
        <v>5462.4</v>
      </c>
      <c r="L287" s="12">
        <f t="shared" si="39"/>
        <v>5462.4</v>
      </c>
      <c r="M287" s="12">
        <f t="shared" si="36"/>
        <v>100</v>
      </c>
      <c r="N287" s="9"/>
    </row>
    <row r="288" spans="1:14" s="28" customFormat="1" ht="33.75" customHeight="1" x14ac:dyDescent="0.2">
      <c r="A288" s="82"/>
      <c r="B288" s="19" t="s">
        <v>79</v>
      </c>
      <c r="C288" s="62">
        <v>905</v>
      </c>
      <c r="D288" s="8" t="s">
        <v>2</v>
      </c>
      <c r="E288" s="8" t="s">
        <v>41</v>
      </c>
      <c r="F288" s="8" t="s">
        <v>131</v>
      </c>
      <c r="G288" s="63">
        <v>2</v>
      </c>
      <c r="H288" s="8" t="s">
        <v>97</v>
      </c>
      <c r="I288" s="8" t="s">
        <v>133</v>
      </c>
      <c r="J288" s="40" t="s">
        <v>557</v>
      </c>
      <c r="K288" s="12">
        <f t="shared" si="39"/>
        <v>5462.4</v>
      </c>
      <c r="L288" s="12">
        <f t="shared" si="39"/>
        <v>5462.4</v>
      </c>
      <c r="M288" s="12">
        <f t="shared" si="36"/>
        <v>100</v>
      </c>
      <c r="N288" s="9"/>
    </row>
    <row r="289" spans="1:14" s="28" customFormat="1" x14ac:dyDescent="0.2">
      <c r="A289" s="82"/>
      <c r="B289" s="19" t="s">
        <v>22</v>
      </c>
      <c r="C289" s="62">
        <v>905</v>
      </c>
      <c r="D289" s="8" t="s">
        <v>2</v>
      </c>
      <c r="E289" s="8" t="s">
        <v>41</v>
      </c>
      <c r="F289" s="8" t="s">
        <v>131</v>
      </c>
      <c r="G289" s="63">
        <v>2</v>
      </c>
      <c r="H289" s="8" t="s">
        <v>97</v>
      </c>
      <c r="I289" s="8" t="s">
        <v>133</v>
      </c>
      <c r="J289" s="8" t="s">
        <v>69</v>
      </c>
      <c r="K289" s="12">
        <v>5462.4</v>
      </c>
      <c r="L289" s="12">
        <v>5462.4</v>
      </c>
      <c r="M289" s="12">
        <f t="shared" si="36"/>
        <v>100</v>
      </c>
      <c r="N289" s="9"/>
    </row>
    <row r="290" spans="1:14" s="28" customFormat="1" x14ac:dyDescent="0.2">
      <c r="A290" s="82"/>
      <c r="B290" s="19" t="s">
        <v>15</v>
      </c>
      <c r="C290" s="62">
        <v>905</v>
      </c>
      <c r="D290" s="8" t="s">
        <v>6</v>
      </c>
      <c r="E290" s="40" t="s">
        <v>557</v>
      </c>
      <c r="F290" s="5" t="s">
        <v>557</v>
      </c>
      <c r="G290" s="40" t="s">
        <v>557</v>
      </c>
      <c r="H290" s="5" t="s">
        <v>557</v>
      </c>
      <c r="I290" s="5" t="s">
        <v>557</v>
      </c>
      <c r="J290" s="40" t="s">
        <v>557</v>
      </c>
      <c r="K290" s="12">
        <f>SUM(K291)</f>
        <v>4182.2</v>
      </c>
      <c r="L290" s="12">
        <f>SUM(L291)</f>
        <v>4141.3</v>
      </c>
      <c r="M290" s="12">
        <f t="shared" si="36"/>
        <v>99.022045813208365</v>
      </c>
      <c r="N290" s="9"/>
    </row>
    <row r="291" spans="1:14" s="28" customFormat="1" ht="21.75" customHeight="1" x14ac:dyDescent="0.2">
      <c r="A291" s="82"/>
      <c r="B291" s="19" t="s">
        <v>87</v>
      </c>
      <c r="C291" s="62">
        <v>905</v>
      </c>
      <c r="D291" s="8" t="s">
        <v>6</v>
      </c>
      <c r="E291" s="8" t="s">
        <v>88</v>
      </c>
      <c r="F291" s="5" t="s">
        <v>557</v>
      </c>
      <c r="G291" s="40" t="s">
        <v>557</v>
      </c>
      <c r="H291" s="5" t="s">
        <v>557</v>
      </c>
      <c r="I291" s="5" t="s">
        <v>557</v>
      </c>
      <c r="J291" s="40" t="s">
        <v>557</v>
      </c>
      <c r="K291" s="12">
        <f t="shared" ref="K291:L295" si="40">SUM(K292)</f>
        <v>4182.2</v>
      </c>
      <c r="L291" s="12">
        <f t="shared" si="40"/>
        <v>4141.3</v>
      </c>
      <c r="M291" s="12">
        <f t="shared" si="36"/>
        <v>99.022045813208365</v>
      </c>
      <c r="N291" s="9"/>
    </row>
    <row r="292" spans="1:14" s="28" customFormat="1" ht="48.75" customHeight="1" x14ac:dyDescent="0.2">
      <c r="A292" s="82"/>
      <c r="B292" s="41" t="s">
        <v>249</v>
      </c>
      <c r="C292" s="62">
        <v>905</v>
      </c>
      <c r="D292" s="8" t="s">
        <v>6</v>
      </c>
      <c r="E292" s="8" t="s">
        <v>88</v>
      </c>
      <c r="F292" s="8" t="s">
        <v>8</v>
      </c>
      <c r="G292" s="40" t="s">
        <v>557</v>
      </c>
      <c r="H292" s="5" t="s">
        <v>557</v>
      </c>
      <c r="I292" s="5" t="s">
        <v>557</v>
      </c>
      <c r="J292" s="40" t="s">
        <v>557</v>
      </c>
      <c r="K292" s="12">
        <f t="shared" si="40"/>
        <v>4182.2</v>
      </c>
      <c r="L292" s="12">
        <f t="shared" si="40"/>
        <v>4141.3</v>
      </c>
      <c r="M292" s="12">
        <f t="shared" si="36"/>
        <v>99.022045813208365</v>
      </c>
      <c r="N292" s="9"/>
    </row>
    <row r="293" spans="1:14" s="28" customFormat="1" ht="63" x14ac:dyDescent="0.2">
      <c r="A293" s="82"/>
      <c r="B293" s="41" t="s">
        <v>232</v>
      </c>
      <c r="C293" s="62">
        <v>905</v>
      </c>
      <c r="D293" s="8" t="s">
        <v>6</v>
      </c>
      <c r="E293" s="8" t="s">
        <v>88</v>
      </c>
      <c r="F293" s="8" t="s">
        <v>8</v>
      </c>
      <c r="G293" s="8" t="s">
        <v>116</v>
      </c>
      <c r="H293" s="5" t="s">
        <v>557</v>
      </c>
      <c r="I293" s="5" t="s">
        <v>557</v>
      </c>
      <c r="J293" s="40" t="s">
        <v>557</v>
      </c>
      <c r="K293" s="12">
        <f t="shared" si="40"/>
        <v>4182.2</v>
      </c>
      <c r="L293" s="12">
        <f t="shared" si="40"/>
        <v>4141.3</v>
      </c>
      <c r="M293" s="12">
        <f t="shared" si="36"/>
        <v>99.022045813208365</v>
      </c>
      <c r="N293" s="9"/>
    </row>
    <row r="294" spans="1:14" s="28" customFormat="1" ht="33.75" customHeight="1" x14ac:dyDescent="0.2">
      <c r="A294" s="82"/>
      <c r="B294" s="41" t="s">
        <v>117</v>
      </c>
      <c r="C294" s="62">
        <v>905</v>
      </c>
      <c r="D294" s="8" t="s">
        <v>6</v>
      </c>
      <c r="E294" s="8" t="s">
        <v>88</v>
      </c>
      <c r="F294" s="8" t="s">
        <v>8</v>
      </c>
      <c r="G294" s="8" t="s">
        <v>116</v>
      </c>
      <c r="H294" s="8" t="s">
        <v>4</v>
      </c>
      <c r="I294" s="5" t="s">
        <v>557</v>
      </c>
      <c r="J294" s="40" t="s">
        <v>557</v>
      </c>
      <c r="K294" s="12">
        <f t="shared" si="40"/>
        <v>4182.2</v>
      </c>
      <c r="L294" s="12">
        <f t="shared" si="40"/>
        <v>4141.3</v>
      </c>
      <c r="M294" s="12">
        <f t="shared" si="36"/>
        <v>99.022045813208365</v>
      </c>
      <c r="N294" s="9"/>
    </row>
    <row r="295" spans="1:14" s="28" customFormat="1" ht="47.25" x14ac:dyDescent="0.2">
      <c r="A295" s="82"/>
      <c r="B295" s="45" t="s">
        <v>381</v>
      </c>
      <c r="C295" s="62">
        <v>905</v>
      </c>
      <c r="D295" s="8" t="s">
        <v>6</v>
      </c>
      <c r="E295" s="8" t="s">
        <v>88</v>
      </c>
      <c r="F295" s="8" t="s">
        <v>8</v>
      </c>
      <c r="G295" s="8" t="s">
        <v>116</v>
      </c>
      <c r="H295" s="8" t="s">
        <v>4</v>
      </c>
      <c r="I295" s="8" t="s">
        <v>380</v>
      </c>
      <c r="J295" s="40" t="s">
        <v>557</v>
      </c>
      <c r="K295" s="12">
        <f t="shared" si="40"/>
        <v>4182.2</v>
      </c>
      <c r="L295" s="12">
        <f t="shared" si="40"/>
        <v>4141.3</v>
      </c>
      <c r="M295" s="12">
        <f t="shared" si="36"/>
        <v>99.022045813208365</v>
      </c>
      <c r="N295" s="9"/>
    </row>
    <row r="296" spans="1:14" s="28" customFormat="1" ht="31.5" x14ac:dyDescent="0.2">
      <c r="A296" s="82"/>
      <c r="B296" s="19" t="s">
        <v>164</v>
      </c>
      <c r="C296" s="62">
        <v>905</v>
      </c>
      <c r="D296" s="8" t="s">
        <v>6</v>
      </c>
      <c r="E296" s="8" t="s">
        <v>88</v>
      </c>
      <c r="F296" s="8" t="s">
        <v>8</v>
      </c>
      <c r="G296" s="8" t="s">
        <v>116</v>
      </c>
      <c r="H296" s="8" t="s">
        <v>4</v>
      </c>
      <c r="I296" s="8" t="s">
        <v>380</v>
      </c>
      <c r="J296" s="8" t="s">
        <v>57</v>
      </c>
      <c r="K296" s="12">
        <f>4182.2</f>
        <v>4182.2</v>
      </c>
      <c r="L296" s="12">
        <v>4141.3</v>
      </c>
      <c r="M296" s="12">
        <f t="shared" si="36"/>
        <v>99.022045813208365</v>
      </c>
      <c r="N296" s="9"/>
    </row>
    <row r="297" spans="1:14" s="28" customFormat="1" x14ac:dyDescent="0.2">
      <c r="A297" s="82"/>
      <c r="B297" s="19" t="s">
        <v>42</v>
      </c>
      <c r="C297" s="62">
        <v>905</v>
      </c>
      <c r="D297" s="8" t="s">
        <v>7</v>
      </c>
      <c r="E297" s="40" t="s">
        <v>557</v>
      </c>
      <c r="F297" s="5" t="s">
        <v>557</v>
      </c>
      <c r="G297" s="40" t="s">
        <v>557</v>
      </c>
      <c r="H297" s="5" t="s">
        <v>557</v>
      </c>
      <c r="I297" s="5" t="s">
        <v>557</v>
      </c>
      <c r="J297" s="40" t="s">
        <v>557</v>
      </c>
      <c r="K297" s="12">
        <f t="shared" ref="K297:L301" si="41">K298</f>
        <v>137182.39999999999</v>
      </c>
      <c r="L297" s="12">
        <f t="shared" si="41"/>
        <v>137182.39999999999</v>
      </c>
      <c r="M297" s="12">
        <f t="shared" si="36"/>
        <v>100</v>
      </c>
      <c r="N297" s="9"/>
    </row>
    <row r="298" spans="1:14" s="28" customFormat="1" x14ac:dyDescent="0.2">
      <c r="A298" s="82"/>
      <c r="B298" s="19" t="s">
        <v>409</v>
      </c>
      <c r="C298" s="62">
        <v>905</v>
      </c>
      <c r="D298" s="8" t="s">
        <v>7</v>
      </c>
      <c r="E298" s="8" t="s">
        <v>4</v>
      </c>
      <c r="F298" s="5" t="s">
        <v>557</v>
      </c>
      <c r="G298" s="40" t="s">
        <v>557</v>
      </c>
      <c r="H298" s="5" t="s">
        <v>557</v>
      </c>
      <c r="I298" s="5" t="s">
        <v>557</v>
      </c>
      <c r="J298" s="40" t="s">
        <v>557</v>
      </c>
      <c r="K298" s="12">
        <f t="shared" si="41"/>
        <v>137182.39999999999</v>
      </c>
      <c r="L298" s="12">
        <f t="shared" si="41"/>
        <v>137182.39999999999</v>
      </c>
      <c r="M298" s="12">
        <f t="shared" si="36"/>
        <v>100</v>
      </c>
      <c r="N298" s="9"/>
    </row>
    <row r="299" spans="1:14" s="28" customFormat="1" ht="47.25" x14ac:dyDescent="0.2">
      <c r="A299" s="82"/>
      <c r="B299" s="19" t="s">
        <v>80</v>
      </c>
      <c r="C299" s="62">
        <v>905</v>
      </c>
      <c r="D299" s="8" t="s">
        <v>7</v>
      </c>
      <c r="E299" s="8" t="s">
        <v>4</v>
      </c>
      <c r="F299" s="8" t="s">
        <v>131</v>
      </c>
      <c r="G299" s="40" t="s">
        <v>557</v>
      </c>
      <c r="H299" s="5" t="s">
        <v>557</v>
      </c>
      <c r="I299" s="5" t="s">
        <v>557</v>
      </c>
      <c r="J299" s="40" t="s">
        <v>557</v>
      </c>
      <c r="K299" s="12">
        <f t="shared" si="41"/>
        <v>137182.39999999999</v>
      </c>
      <c r="L299" s="12">
        <f t="shared" si="41"/>
        <v>137182.39999999999</v>
      </c>
      <c r="M299" s="12">
        <f t="shared" si="36"/>
        <v>100</v>
      </c>
      <c r="N299" s="9"/>
    </row>
    <row r="300" spans="1:14" s="28" customFormat="1" ht="21" customHeight="1" x14ac:dyDescent="0.2">
      <c r="A300" s="82"/>
      <c r="B300" s="19" t="s">
        <v>63</v>
      </c>
      <c r="C300" s="62">
        <v>905</v>
      </c>
      <c r="D300" s="8" t="s">
        <v>7</v>
      </c>
      <c r="E300" s="8" t="s">
        <v>4</v>
      </c>
      <c r="F300" s="8" t="s">
        <v>131</v>
      </c>
      <c r="G300" s="63">
        <v>2</v>
      </c>
      <c r="H300" s="5" t="s">
        <v>557</v>
      </c>
      <c r="I300" s="5" t="s">
        <v>557</v>
      </c>
      <c r="J300" s="40" t="s">
        <v>557</v>
      </c>
      <c r="K300" s="12">
        <f t="shared" si="41"/>
        <v>137182.39999999999</v>
      </c>
      <c r="L300" s="12">
        <f t="shared" si="41"/>
        <v>137182.39999999999</v>
      </c>
      <c r="M300" s="12">
        <f t="shared" si="36"/>
        <v>100</v>
      </c>
      <c r="N300" s="9"/>
    </row>
    <row r="301" spans="1:14" s="28" customFormat="1" ht="33" customHeight="1" x14ac:dyDescent="0.2">
      <c r="A301" s="82"/>
      <c r="B301" s="19" t="s">
        <v>79</v>
      </c>
      <c r="C301" s="62">
        <v>905</v>
      </c>
      <c r="D301" s="8" t="s">
        <v>7</v>
      </c>
      <c r="E301" s="8" t="s">
        <v>4</v>
      </c>
      <c r="F301" s="8" t="s">
        <v>131</v>
      </c>
      <c r="G301" s="63">
        <v>2</v>
      </c>
      <c r="H301" s="8" t="s">
        <v>97</v>
      </c>
      <c r="I301" s="8" t="s">
        <v>133</v>
      </c>
      <c r="J301" s="40" t="s">
        <v>557</v>
      </c>
      <c r="K301" s="12">
        <f t="shared" si="41"/>
        <v>137182.39999999999</v>
      </c>
      <c r="L301" s="12">
        <f t="shared" si="41"/>
        <v>137182.39999999999</v>
      </c>
      <c r="M301" s="12">
        <f t="shared" si="36"/>
        <v>100</v>
      </c>
      <c r="N301" s="9"/>
    </row>
    <row r="302" spans="1:14" s="28" customFormat="1" x14ac:dyDescent="0.2">
      <c r="A302" s="82"/>
      <c r="B302" s="19" t="s">
        <v>22</v>
      </c>
      <c r="C302" s="62">
        <v>905</v>
      </c>
      <c r="D302" s="8" t="s">
        <v>7</v>
      </c>
      <c r="E302" s="8" t="s">
        <v>4</v>
      </c>
      <c r="F302" s="8" t="s">
        <v>131</v>
      </c>
      <c r="G302" s="63">
        <v>2</v>
      </c>
      <c r="H302" s="8" t="s">
        <v>97</v>
      </c>
      <c r="I302" s="8" t="s">
        <v>133</v>
      </c>
      <c r="J302" s="8" t="s">
        <v>69</v>
      </c>
      <c r="K302" s="12">
        <v>137182.39999999999</v>
      </c>
      <c r="L302" s="12">
        <v>137182.39999999999</v>
      </c>
      <c r="M302" s="12">
        <f t="shared" si="36"/>
        <v>100</v>
      </c>
      <c r="N302" s="9"/>
    </row>
    <row r="303" spans="1:14" s="28" customFormat="1" x14ac:dyDescent="0.2">
      <c r="A303" s="82"/>
      <c r="B303" s="19" t="s">
        <v>18</v>
      </c>
      <c r="C303" s="62">
        <v>905</v>
      </c>
      <c r="D303" s="61" t="s">
        <v>8</v>
      </c>
      <c r="E303" s="40" t="s">
        <v>557</v>
      </c>
      <c r="F303" s="5" t="s">
        <v>557</v>
      </c>
      <c r="G303" s="40" t="s">
        <v>557</v>
      </c>
      <c r="H303" s="5" t="s">
        <v>557</v>
      </c>
      <c r="I303" s="5" t="s">
        <v>557</v>
      </c>
      <c r="J303" s="40" t="s">
        <v>557</v>
      </c>
      <c r="K303" s="12">
        <f t="shared" ref="K303:L307" si="42">K304</f>
        <v>106.7</v>
      </c>
      <c r="L303" s="12">
        <f t="shared" si="42"/>
        <v>46</v>
      </c>
      <c r="M303" s="12">
        <f t="shared" si="36"/>
        <v>43.111527647610117</v>
      </c>
      <c r="N303" s="9"/>
    </row>
    <row r="304" spans="1:14" s="28" customFormat="1" ht="31.5" x14ac:dyDescent="0.2">
      <c r="A304" s="82"/>
      <c r="B304" s="19" t="s">
        <v>375</v>
      </c>
      <c r="C304" s="62">
        <v>905</v>
      </c>
      <c r="D304" s="61" t="s">
        <v>8</v>
      </c>
      <c r="E304" s="61" t="s">
        <v>7</v>
      </c>
      <c r="F304" s="5" t="s">
        <v>557</v>
      </c>
      <c r="G304" s="40" t="s">
        <v>557</v>
      </c>
      <c r="H304" s="5" t="s">
        <v>557</v>
      </c>
      <c r="I304" s="5" t="s">
        <v>557</v>
      </c>
      <c r="J304" s="40" t="s">
        <v>557</v>
      </c>
      <c r="K304" s="12">
        <f t="shared" si="42"/>
        <v>106.7</v>
      </c>
      <c r="L304" s="12">
        <f t="shared" si="42"/>
        <v>46</v>
      </c>
      <c r="M304" s="12">
        <f t="shared" si="36"/>
        <v>43.111527647610117</v>
      </c>
      <c r="N304" s="9"/>
    </row>
    <row r="305" spans="1:14" s="28" customFormat="1" ht="49.5" customHeight="1" x14ac:dyDescent="0.2">
      <c r="A305" s="82"/>
      <c r="B305" s="19" t="s">
        <v>231</v>
      </c>
      <c r="C305" s="62">
        <v>905</v>
      </c>
      <c r="D305" s="61" t="s">
        <v>8</v>
      </c>
      <c r="E305" s="61" t="s">
        <v>7</v>
      </c>
      <c r="F305" s="8" t="s">
        <v>8</v>
      </c>
      <c r="G305" s="40" t="s">
        <v>557</v>
      </c>
      <c r="H305" s="5" t="s">
        <v>557</v>
      </c>
      <c r="I305" s="5" t="s">
        <v>557</v>
      </c>
      <c r="J305" s="40" t="s">
        <v>557</v>
      </c>
      <c r="K305" s="12">
        <f t="shared" si="42"/>
        <v>106.7</v>
      </c>
      <c r="L305" s="12">
        <f t="shared" si="42"/>
        <v>46</v>
      </c>
      <c r="M305" s="12">
        <f t="shared" si="36"/>
        <v>43.111527647610117</v>
      </c>
      <c r="N305" s="9"/>
    </row>
    <row r="306" spans="1:14" s="28" customFormat="1" ht="63" x14ac:dyDescent="0.2">
      <c r="A306" s="82"/>
      <c r="B306" s="19" t="s">
        <v>232</v>
      </c>
      <c r="C306" s="62">
        <v>905</v>
      </c>
      <c r="D306" s="61" t="s">
        <v>8</v>
      </c>
      <c r="E306" s="61" t="s">
        <v>7</v>
      </c>
      <c r="F306" s="8" t="s">
        <v>8</v>
      </c>
      <c r="G306" s="8" t="s">
        <v>116</v>
      </c>
      <c r="H306" s="5" t="s">
        <v>557</v>
      </c>
      <c r="I306" s="5" t="s">
        <v>557</v>
      </c>
      <c r="J306" s="40" t="s">
        <v>557</v>
      </c>
      <c r="K306" s="12">
        <f t="shared" si="42"/>
        <v>106.7</v>
      </c>
      <c r="L306" s="12">
        <f t="shared" si="42"/>
        <v>46</v>
      </c>
      <c r="M306" s="12">
        <f t="shared" si="36"/>
        <v>43.111527647610117</v>
      </c>
      <c r="N306" s="9"/>
    </row>
    <row r="307" spans="1:14" s="28" customFormat="1" ht="33.75" customHeight="1" x14ac:dyDescent="0.2">
      <c r="A307" s="82"/>
      <c r="B307" s="19" t="s">
        <v>117</v>
      </c>
      <c r="C307" s="62">
        <v>905</v>
      </c>
      <c r="D307" s="61" t="s">
        <v>8</v>
      </c>
      <c r="E307" s="61" t="s">
        <v>7</v>
      </c>
      <c r="F307" s="8" t="s">
        <v>8</v>
      </c>
      <c r="G307" s="8" t="s">
        <v>116</v>
      </c>
      <c r="H307" s="8" t="s">
        <v>4</v>
      </c>
      <c r="I307" s="5" t="s">
        <v>557</v>
      </c>
      <c r="J307" s="40" t="s">
        <v>557</v>
      </c>
      <c r="K307" s="12">
        <f t="shared" si="42"/>
        <v>106.7</v>
      </c>
      <c r="L307" s="12">
        <f t="shared" si="42"/>
        <v>46</v>
      </c>
      <c r="M307" s="12">
        <f t="shared" si="36"/>
        <v>43.111527647610117</v>
      </c>
      <c r="N307" s="9"/>
    </row>
    <row r="308" spans="1:14" s="28" customFormat="1" ht="31.5" x14ac:dyDescent="0.2">
      <c r="A308" s="82"/>
      <c r="B308" s="19" t="s">
        <v>377</v>
      </c>
      <c r="C308" s="62">
        <v>905</v>
      </c>
      <c r="D308" s="61" t="s">
        <v>8</v>
      </c>
      <c r="E308" s="61" t="s">
        <v>7</v>
      </c>
      <c r="F308" s="8" t="s">
        <v>8</v>
      </c>
      <c r="G308" s="8" t="s">
        <v>116</v>
      </c>
      <c r="H308" s="8" t="s">
        <v>4</v>
      </c>
      <c r="I308" s="8" t="s">
        <v>376</v>
      </c>
      <c r="J308" s="40" t="s">
        <v>557</v>
      </c>
      <c r="K308" s="12">
        <f>SUM(K309:K309)</f>
        <v>106.7</v>
      </c>
      <c r="L308" s="12">
        <f>SUM(L309:L309)</f>
        <v>46</v>
      </c>
      <c r="M308" s="12">
        <f t="shared" si="36"/>
        <v>43.111527647610117</v>
      </c>
      <c r="N308" s="9"/>
    </row>
    <row r="309" spans="1:14" s="28" customFormat="1" ht="31.5" x14ac:dyDescent="0.2">
      <c r="A309" s="82"/>
      <c r="B309" s="19" t="s">
        <v>164</v>
      </c>
      <c r="C309" s="62">
        <v>905</v>
      </c>
      <c r="D309" s="61" t="s">
        <v>8</v>
      </c>
      <c r="E309" s="61" t="s">
        <v>7</v>
      </c>
      <c r="F309" s="8" t="s">
        <v>8</v>
      </c>
      <c r="G309" s="8" t="s">
        <v>116</v>
      </c>
      <c r="H309" s="8" t="s">
        <v>4</v>
      </c>
      <c r="I309" s="8" t="s">
        <v>376</v>
      </c>
      <c r="J309" s="61" t="s">
        <v>57</v>
      </c>
      <c r="K309" s="12">
        <v>106.7</v>
      </c>
      <c r="L309" s="12">
        <v>46</v>
      </c>
      <c r="M309" s="12">
        <f t="shared" si="36"/>
        <v>43.111527647610117</v>
      </c>
      <c r="N309" s="9"/>
    </row>
    <row r="310" spans="1:14" s="28" customFormat="1" ht="31.5" x14ac:dyDescent="0.2">
      <c r="A310" s="82"/>
      <c r="B310" s="19" t="s">
        <v>46</v>
      </c>
      <c r="C310" s="62">
        <v>905</v>
      </c>
      <c r="D310" s="8" t="s">
        <v>41</v>
      </c>
      <c r="E310" s="40" t="s">
        <v>557</v>
      </c>
      <c r="F310" s="5" t="s">
        <v>557</v>
      </c>
      <c r="G310" s="40" t="s">
        <v>557</v>
      </c>
      <c r="H310" s="5" t="s">
        <v>557</v>
      </c>
      <c r="I310" s="5" t="s">
        <v>557</v>
      </c>
      <c r="J310" s="40" t="s">
        <v>557</v>
      </c>
      <c r="K310" s="12">
        <f t="shared" ref="K310:L315" si="43">K311</f>
        <v>71.5</v>
      </c>
      <c r="L310" s="12">
        <f t="shared" si="43"/>
        <v>71</v>
      </c>
      <c r="M310" s="12">
        <f t="shared" si="36"/>
        <v>99.300699300699307</v>
      </c>
      <c r="N310" s="9"/>
    </row>
    <row r="311" spans="1:14" s="28" customFormat="1" ht="31.5" x14ac:dyDescent="0.2">
      <c r="A311" s="82"/>
      <c r="B311" s="19" t="s">
        <v>47</v>
      </c>
      <c r="C311" s="62">
        <v>905</v>
      </c>
      <c r="D311" s="8" t="s">
        <v>41</v>
      </c>
      <c r="E311" s="8" t="s">
        <v>2</v>
      </c>
      <c r="F311" s="5" t="s">
        <v>557</v>
      </c>
      <c r="G311" s="40" t="s">
        <v>557</v>
      </c>
      <c r="H311" s="5" t="s">
        <v>557</v>
      </c>
      <c r="I311" s="5" t="s">
        <v>557</v>
      </c>
      <c r="J311" s="40" t="s">
        <v>557</v>
      </c>
      <c r="K311" s="12">
        <f t="shared" si="43"/>
        <v>71.5</v>
      </c>
      <c r="L311" s="12">
        <f t="shared" si="43"/>
        <v>71</v>
      </c>
      <c r="M311" s="12">
        <f t="shared" si="36"/>
        <v>99.300699300699307</v>
      </c>
      <c r="N311" s="9"/>
    </row>
    <row r="312" spans="1:14" s="28" customFormat="1" ht="31.5" x14ac:dyDescent="0.2">
      <c r="A312" s="82"/>
      <c r="B312" s="41" t="s">
        <v>247</v>
      </c>
      <c r="C312" s="62">
        <v>905</v>
      </c>
      <c r="D312" s="8" t="s">
        <v>41</v>
      </c>
      <c r="E312" s="8" t="s">
        <v>2</v>
      </c>
      <c r="F312" s="8" t="s">
        <v>5</v>
      </c>
      <c r="G312" s="40" t="s">
        <v>557</v>
      </c>
      <c r="H312" s="5" t="s">
        <v>557</v>
      </c>
      <c r="I312" s="5" t="s">
        <v>557</v>
      </c>
      <c r="J312" s="40" t="s">
        <v>557</v>
      </c>
      <c r="K312" s="12">
        <f t="shared" si="43"/>
        <v>71.5</v>
      </c>
      <c r="L312" s="12">
        <f t="shared" si="43"/>
        <v>71</v>
      </c>
      <c r="M312" s="12">
        <f t="shared" si="36"/>
        <v>99.300699300699307</v>
      </c>
      <c r="N312" s="9"/>
    </row>
    <row r="313" spans="1:14" s="28" customFormat="1" ht="31.5" x14ac:dyDescent="0.2">
      <c r="A313" s="82"/>
      <c r="B313" s="41" t="s">
        <v>248</v>
      </c>
      <c r="C313" s="62">
        <v>905</v>
      </c>
      <c r="D313" s="8" t="s">
        <v>41</v>
      </c>
      <c r="E313" s="8" t="s">
        <v>2</v>
      </c>
      <c r="F313" s="8" t="s">
        <v>5</v>
      </c>
      <c r="G313" s="63">
        <v>2</v>
      </c>
      <c r="H313" s="5" t="s">
        <v>557</v>
      </c>
      <c r="I313" s="5" t="s">
        <v>557</v>
      </c>
      <c r="J313" s="40" t="s">
        <v>557</v>
      </c>
      <c r="K313" s="12">
        <f t="shared" si="43"/>
        <v>71.5</v>
      </c>
      <c r="L313" s="12">
        <f t="shared" si="43"/>
        <v>71</v>
      </c>
      <c r="M313" s="12">
        <f t="shared" si="36"/>
        <v>99.300699300699307</v>
      </c>
      <c r="N313" s="9"/>
    </row>
    <row r="314" spans="1:14" s="28" customFormat="1" ht="47.25" x14ac:dyDescent="0.2">
      <c r="A314" s="82"/>
      <c r="B314" s="41" t="s">
        <v>128</v>
      </c>
      <c r="C314" s="62">
        <v>905</v>
      </c>
      <c r="D314" s="8" t="s">
        <v>41</v>
      </c>
      <c r="E314" s="8" t="s">
        <v>2</v>
      </c>
      <c r="F314" s="8" t="s">
        <v>5</v>
      </c>
      <c r="G314" s="63">
        <v>2</v>
      </c>
      <c r="H314" s="8" t="s">
        <v>2</v>
      </c>
      <c r="I314" s="5" t="s">
        <v>557</v>
      </c>
      <c r="J314" s="40" t="s">
        <v>557</v>
      </c>
      <c r="K314" s="12">
        <f t="shared" si="43"/>
        <v>71.5</v>
      </c>
      <c r="L314" s="12">
        <f t="shared" si="43"/>
        <v>71</v>
      </c>
      <c r="M314" s="12">
        <f t="shared" si="36"/>
        <v>99.300699300699307</v>
      </c>
      <c r="N314" s="9"/>
    </row>
    <row r="315" spans="1:14" s="28" customFormat="1" x14ac:dyDescent="0.2">
      <c r="A315" s="82"/>
      <c r="B315" s="41" t="s">
        <v>129</v>
      </c>
      <c r="C315" s="62">
        <v>905</v>
      </c>
      <c r="D315" s="8" t="s">
        <v>41</v>
      </c>
      <c r="E315" s="8" t="s">
        <v>2</v>
      </c>
      <c r="F315" s="8" t="s">
        <v>5</v>
      </c>
      <c r="G315" s="63">
        <v>2</v>
      </c>
      <c r="H315" s="8" t="s">
        <v>2</v>
      </c>
      <c r="I315" s="8" t="s">
        <v>130</v>
      </c>
      <c r="J315" s="40" t="s">
        <v>557</v>
      </c>
      <c r="K315" s="12">
        <f t="shared" si="43"/>
        <v>71.5</v>
      </c>
      <c r="L315" s="12">
        <f t="shared" si="43"/>
        <v>71</v>
      </c>
      <c r="M315" s="12">
        <f t="shared" si="36"/>
        <v>99.300699300699307</v>
      </c>
      <c r="N315" s="9"/>
    </row>
    <row r="316" spans="1:14" s="28" customFormat="1" x14ac:dyDescent="0.2">
      <c r="A316" s="82"/>
      <c r="B316" s="19" t="s">
        <v>67</v>
      </c>
      <c r="C316" s="62">
        <v>905</v>
      </c>
      <c r="D316" s="8" t="s">
        <v>41</v>
      </c>
      <c r="E316" s="8" t="s">
        <v>2</v>
      </c>
      <c r="F316" s="8" t="s">
        <v>5</v>
      </c>
      <c r="G316" s="63">
        <v>2</v>
      </c>
      <c r="H316" s="8" t="s">
        <v>2</v>
      </c>
      <c r="I316" s="8" t="s">
        <v>130</v>
      </c>
      <c r="J316" s="8" t="s">
        <v>68</v>
      </c>
      <c r="K316" s="12">
        <f>33.6+37.9</f>
        <v>71.5</v>
      </c>
      <c r="L316" s="12">
        <v>71</v>
      </c>
      <c r="M316" s="12">
        <f t="shared" si="36"/>
        <v>99.300699300699307</v>
      </c>
      <c r="N316" s="9"/>
    </row>
    <row r="317" spans="1:14" s="28" customFormat="1" ht="47.25" x14ac:dyDescent="0.2">
      <c r="A317" s="82"/>
      <c r="B317" s="19" t="s">
        <v>170</v>
      </c>
      <c r="C317" s="63">
        <v>905</v>
      </c>
      <c r="D317" s="8" t="s">
        <v>10</v>
      </c>
      <c r="E317" s="40" t="s">
        <v>557</v>
      </c>
      <c r="F317" s="5" t="s">
        <v>557</v>
      </c>
      <c r="G317" s="40" t="s">
        <v>557</v>
      </c>
      <c r="H317" s="5" t="s">
        <v>557</v>
      </c>
      <c r="I317" s="5" t="s">
        <v>557</v>
      </c>
      <c r="J317" s="40" t="s">
        <v>557</v>
      </c>
      <c r="K317" s="12">
        <f>SUM(K318+K324)</f>
        <v>150357.29999999999</v>
      </c>
      <c r="L317" s="12">
        <f>SUM(L318+L324)</f>
        <v>150357.29999999999</v>
      </c>
      <c r="M317" s="12">
        <f t="shared" si="36"/>
        <v>100</v>
      </c>
      <c r="N317" s="9"/>
    </row>
    <row r="318" spans="1:14" ht="47.25" x14ac:dyDescent="0.2">
      <c r="A318" s="82"/>
      <c r="B318" s="19" t="s">
        <v>171</v>
      </c>
      <c r="C318" s="63">
        <v>905</v>
      </c>
      <c r="D318" s="8" t="s">
        <v>10</v>
      </c>
      <c r="E318" s="8" t="s">
        <v>2</v>
      </c>
      <c r="F318" s="5" t="s">
        <v>557</v>
      </c>
      <c r="G318" s="40" t="s">
        <v>557</v>
      </c>
      <c r="H318" s="5" t="s">
        <v>557</v>
      </c>
      <c r="I318" s="5" t="s">
        <v>557</v>
      </c>
      <c r="J318" s="40" t="s">
        <v>557</v>
      </c>
      <c r="K318" s="12">
        <f>SUM(K319)</f>
        <v>39000</v>
      </c>
      <c r="L318" s="12">
        <f>SUM(L319)</f>
        <v>39000</v>
      </c>
      <c r="M318" s="12">
        <f t="shared" si="36"/>
        <v>100</v>
      </c>
    </row>
    <row r="319" spans="1:14" ht="31.5" x14ac:dyDescent="0.2">
      <c r="A319" s="82"/>
      <c r="B319" s="19" t="s">
        <v>247</v>
      </c>
      <c r="C319" s="63">
        <v>905</v>
      </c>
      <c r="D319" s="8" t="s">
        <v>10</v>
      </c>
      <c r="E319" s="8" t="s">
        <v>2</v>
      </c>
      <c r="F319" s="8" t="s">
        <v>5</v>
      </c>
      <c r="G319" s="40" t="s">
        <v>557</v>
      </c>
      <c r="H319" s="5" t="s">
        <v>557</v>
      </c>
      <c r="I319" s="5" t="s">
        <v>557</v>
      </c>
      <c r="J319" s="40" t="s">
        <v>557</v>
      </c>
      <c r="K319" s="12">
        <f t="shared" ref="K319:L320" si="44">SUM(K320)</f>
        <v>39000</v>
      </c>
      <c r="L319" s="12">
        <f t="shared" si="44"/>
        <v>39000</v>
      </c>
      <c r="M319" s="12">
        <f t="shared" si="36"/>
        <v>100</v>
      </c>
    </row>
    <row r="320" spans="1:14" ht="32.25" customHeight="1" x14ac:dyDescent="0.2">
      <c r="A320" s="82"/>
      <c r="B320" s="19" t="s">
        <v>250</v>
      </c>
      <c r="C320" s="63">
        <v>905</v>
      </c>
      <c r="D320" s="8" t="s">
        <v>10</v>
      </c>
      <c r="E320" s="8" t="s">
        <v>2</v>
      </c>
      <c r="F320" s="8" t="s">
        <v>5</v>
      </c>
      <c r="G320" s="63">
        <v>1</v>
      </c>
      <c r="H320" s="5" t="s">
        <v>557</v>
      </c>
      <c r="I320" s="5" t="s">
        <v>557</v>
      </c>
      <c r="J320" s="40" t="s">
        <v>557</v>
      </c>
      <c r="K320" s="12">
        <f t="shared" si="44"/>
        <v>39000</v>
      </c>
      <c r="L320" s="12">
        <f t="shared" si="44"/>
        <v>39000</v>
      </c>
      <c r="M320" s="12">
        <f t="shared" si="36"/>
        <v>100</v>
      </c>
    </row>
    <row r="321" spans="1:24" s="9" customFormat="1" ht="47.25" x14ac:dyDescent="0.2">
      <c r="A321" s="82"/>
      <c r="B321" s="19" t="s">
        <v>134</v>
      </c>
      <c r="C321" s="63">
        <v>905</v>
      </c>
      <c r="D321" s="8" t="s">
        <v>10</v>
      </c>
      <c r="E321" s="8" t="s">
        <v>2</v>
      </c>
      <c r="F321" s="8" t="s">
        <v>5</v>
      </c>
      <c r="G321" s="63">
        <v>1</v>
      </c>
      <c r="H321" s="8" t="s">
        <v>2</v>
      </c>
      <c r="I321" s="5" t="s">
        <v>557</v>
      </c>
      <c r="J321" s="40" t="s">
        <v>557</v>
      </c>
      <c r="K321" s="12">
        <f>SUM(K322)</f>
        <v>39000</v>
      </c>
      <c r="L321" s="12">
        <f>SUM(L322)</f>
        <v>39000</v>
      </c>
      <c r="M321" s="12">
        <f t="shared" si="36"/>
        <v>100</v>
      </c>
      <c r="O321" s="7"/>
      <c r="P321" s="7"/>
      <c r="Q321" s="7"/>
      <c r="R321" s="7"/>
      <c r="S321" s="7"/>
      <c r="T321" s="7"/>
      <c r="U321" s="7"/>
      <c r="V321" s="7"/>
      <c r="W321" s="7"/>
      <c r="X321" s="7"/>
    </row>
    <row r="322" spans="1:24" s="9" customFormat="1" ht="63" x14ac:dyDescent="0.2">
      <c r="A322" s="82"/>
      <c r="B322" s="19" t="s">
        <v>295</v>
      </c>
      <c r="C322" s="63">
        <v>905</v>
      </c>
      <c r="D322" s="8" t="s">
        <v>10</v>
      </c>
      <c r="E322" s="8" t="s">
        <v>2</v>
      </c>
      <c r="F322" s="8" t="s">
        <v>5</v>
      </c>
      <c r="G322" s="8" t="s">
        <v>116</v>
      </c>
      <c r="H322" s="8" t="s">
        <v>2</v>
      </c>
      <c r="I322" s="8" t="s">
        <v>296</v>
      </c>
      <c r="J322" s="40" t="s">
        <v>557</v>
      </c>
      <c r="K322" s="12">
        <f>SUM(K323)</f>
        <v>39000</v>
      </c>
      <c r="L322" s="12">
        <f>SUM(L323)</f>
        <v>39000</v>
      </c>
      <c r="M322" s="12">
        <f t="shared" si="36"/>
        <v>100</v>
      </c>
      <c r="O322" s="7"/>
      <c r="P322" s="7"/>
      <c r="Q322" s="7"/>
      <c r="R322" s="7"/>
      <c r="S322" s="7"/>
      <c r="T322" s="7"/>
      <c r="U322" s="7"/>
      <c r="V322" s="7"/>
      <c r="W322" s="7"/>
      <c r="X322" s="7"/>
    </row>
    <row r="323" spans="1:24" s="9" customFormat="1" x14ac:dyDescent="0.2">
      <c r="A323" s="82"/>
      <c r="B323" s="19" t="s">
        <v>22</v>
      </c>
      <c r="C323" s="63">
        <v>905</v>
      </c>
      <c r="D323" s="8" t="s">
        <v>10</v>
      </c>
      <c r="E323" s="8" t="s">
        <v>2</v>
      </c>
      <c r="F323" s="8" t="s">
        <v>5</v>
      </c>
      <c r="G323" s="8" t="s">
        <v>116</v>
      </c>
      <c r="H323" s="8" t="s">
        <v>2</v>
      </c>
      <c r="I323" s="8" t="s">
        <v>296</v>
      </c>
      <c r="J323" s="61" t="s">
        <v>69</v>
      </c>
      <c r="K323" s="12">
        <v>39000</v>
      </c>
      <c r="L323" s="12">
        <v>39000</v>
      </c>
      <c r="M323" s="12">
        <f t="shared" si="36"/>
        <v>100</v>
      </c>
      <c r="O323" s="7"/>
      <c r="P323" s="7"/>
      <c r="Q323" s="7"/>
      <c r="R323" s="7"/>
      <c r="S323" s="7"/>
      <c r="T323" s="7"/>
      <c r="U323" s="7"/>
      <c r="V323" s="7"/>
      <c r="W323" s="7"/>
      <c r="X323" s="7"/>
    </row>
    <row r="324" spans="1:24" s="9" customFormat="1" ht="31.5" x14ac:dyDescent="0.2">
      <c r="A324" s="82"/>
      <c r="B324" s="19" t="s">
        <v>402</v>
      </c>
      <c r="C324" s="63">
        <v>905</v>
      </c>
      <c r="D324" s="8" t="s">
        <v>10</v>
      </c>
      <c r="E324" s="8" t="s">
        <v>5</v>
      </c>
      <c r="F324" s="5" t="s">
        <v>557</v>
      </c>
      <c r="G324" s="40" t="s">
        <v>557</v>
      </c>
      <c r="H324" s="5" t="s">
        <v>557</v>
      </c>
      <c r="I324" s="5" t="s">
        <v>557</v>
      </c>
      <c r="J324" s="40" t="s">
        <v>557</v>
      </c>
      <c r="K324" s="12">
        <f t="shared" ref="K324:L328" si="45">K325</f>
        <v>111357.29999999999</v>
      </c>
      <c r="L324" s="12">
        <f t="shared" si="45"/>
        <v>111357.29999999999</v>
      </c>
      <c r="M324" s="12">
        <f t="shared" si="36"/>
        <v>100</v>
      </c>
      <c r="O324" s="7"/>
      <c r="P324" s="7"/>
      <c r="Q324" s="7"/>
      <c r="R324" s="7"/>
      <c r="S324" s="7"/>
      <c r="T324" s="7"/>
      <c r="U324" s="7"/>
      <c r="V324" s="7"/>
      <c r="W324" s="7"/>
      <c r="X324" s="7"/>
    </row>
    <row r="325" spans="1:24" s="9" customFormat="1" ht="31.5" x14ac:dyDescent="0.2">
      <c r="A325" s="82"/>
      <c r="B325" s="41" t="s">
        <v>334</v>
      </c>
      <c r="C325" s="63">
        <v>905</v>
      </c>
      <c r="D325" s="8" t="s">
        <v>10</v>
      </c>
      <c r="E325" s="8" t="s">
        <v>5</v>
      </c>
      <c r="F325" s="8" t="s">
        <v>5</v>
      </c>
      <c r="G325" s="40" t="s">
        <v>557</v>
      </c>
      <c r="H325" s="5" t="s">
        <v>557</v>
      </c>
      <c r="I325" s="5" t="s">
        <v>557</v>
      </c>
      <c r="J325" s="40" t="s">
        <v>557</v>
      </c>
      <c r="K325" s="12">
        <f t="shared" si="45"/>
        <v>111357.29999999999</v>
      </c>
      <c r="L325" s="12">
        <f t="shared" si="45"/>
        <v>111357.29999999999</v>
      </c>
      <c r="M325" s="12">
        <f t="shared" si="36"/>
        <v>100</v>
      </c>
      <c r="O325" s="7"/>
      <c r="P325" s="7"/>
      <c r="Q325" s="7"/>
      <c r="R325" s="7"/>
      <c r="S325" s="7"/>
      <c r="T325" s="7"/>
      <c r="U325" s="7"/>
      <c r="V325" s="7"/>
      <c r="W325" s="7"/>
      <c r="X325" s="7"/>
    </row>
    <row r="326" spans="1:24" s="9" customFormat="1" ht="31.5" customHeight="1" x14ac:dyDescent="0.2">
      <c r="A326" s="82"/>
      <c r="B326" s="41" t="s">
        <v>250</v>
      </c>
      <c r="C326" s="63">
        <v>905</v>
      </c>
      <c r="D326" s="8" t="s">
        <v>10</v>
      </c>
      <c r="E326" s="8" t="s">
        <v>5</v>
      </c>
      <c r="F326" s="8" t="s">
        <v>5</v>
      </c>
      <c r="G326" s="8" t="s">
        <v>116</v>
      </c>
      <c r="H326" s="5" t="s">
        <v>557</v>
      </c>
      <c r="I326" s="5" t="s">
        <v>557</v>
      </c>
      <c r="J326" s="40" t="s">
        <v>557</v>
      </c>
      <c r="K326" s="12">
        <f t="shared" si="45"/>
        <v>111357.29999999999</v>
      </c>
      <c r="L326" s="12">
        <f t="shared" si="45"/>
        <v>111357.29999999999</v>
      </c>
      <c r="M326" s="12">
        <f t="shared" si="36"/>
        <v>100</v>
      </c>
      <c r="O326" s="7"/>
      <c r="P326" s="7"/>
      <c r="Q326" s="7"/>
      <c r="R326" s="7"/>
      <c r="S326" s="7"/>
      <c r="T326" s="7"/>
      <c r="U326" s="7"/>
      <c r="V326" s="7"/>
      <c r="W326" s="7"/>
      <c r="X326" s="7"/>
    </row>
    <row r="327" spans="1:24" s="9" customFormat="1" ht="33.75" customHeight="1" x14ac:dyDescent="0.2">
      <c r="A327" s="82"/>
      <c r="B327" s="19" t="s">
        <v>331</v>
      </c>
      <c r="C327" s="63">
        <v>905</v>
      </c>
      <c r="D327" s="8" t="s">
        <v>10</v>
      </c>
      <c r="E327" s="8" t="s">
        <v>5</v>
      </c>
      <c r="F327" s="8" t="s">
        <v>5</v>
      </c>
      <c r="G327" s="8" t="s">
        <v>116</v>
      </c>
      <c r="H327" s="8" t="s">
        <v>4</v>
      </c>
      <c r="I327" s="5" t="s">
        <v>557</v>
      </c>
      <c r="J327" s="40" t="s">
        <v>557</v>
      </c>
      <c r="K327" s="12">
        <f t="shared" si="45"/>
        <v>111357.29999999999</v>
      </c>
      <c r="L327" s="12">
        <f t="shared" si="45"/>
        <v>111357.29999999999</v>
      </c>
      <c r="M327" s="12">
        <f t="shared" si="36"/>
        <v>100</v>
      </c>
      <c r="O327" s="7"/>
      <c r="P327" s="7"/>
      <c r="Q327" s="7"/>
      <c r="R327" s="7"/>
      <c r="S327" s="7"/>
      <c r="T327" s="7"/>
      <c r="U327" s="7"/>
      <c r="V327" s="7"/>
      <c r="W327" s="7"/>
      <c r="X327" s="7"/>
    </row>
    <row r="328" spans="1:24" s="9" customFormat="1" ht="35.25" customHeight="1" x14ac:dyDescent="0.2">
      <c r="A328" s="82"/>
      <c r="B328" s="19" t="s">
        <v>332</v>
      </c>
      <c r="C328" s="63">
        <v>905</v>
      </c>
      <c r="D328" s="8" t="s">
        <v>10</v>
      </c>
      <c r="E328" s="8" t="s">
        <v>5</v>
      </c>
      <c r="F328" s="8" t="s">
        <v>5</v>
      </c>
      <c r="G328" s="8" t="s">
        <v>116</v>
      </c>
      <c r="H328" s="8" t="s">
        <v>4</v>
      </c>
      <c r="I328" s="8" t="s">
        <v>333</v>
      </c>
      <c r="J328" s="40" t="s">
        <v>557</v>
      </c>
      <c r="K328" s="12">
        <f t="shared" si="45"/>
        <v>111357.29999999999</v>
      </c>
      <c r="L328" s="12">
        <f t="shared" si="45"/>
        <v>111357.29999999999</v>
      </c>
      <c r="M328" s="12">
        <f t="shared" ref="M328:M391" si="46">SUM(L328/K328*100)</f>
        <v>100</v>
      </c>
      <c r="O328" s="7"/>
      <c r="P328" s="7"/>
      <c r="Q328" s="7"/>
      <c r="R328" s="7"/>
      <c r="S328" s="7"/>
      <c r="T328" s="7"/>
      <c r="U328" s="7"/>
      <c r="V328" s="7"/>
      <c r="W328" s="7"/>
      <c r="X328" s="7"/>
    </row>
    <row r="329" spans="1:24" s="9" customFormat="1" x14ac:dyDescent="0.2">
      <c r="A329" s="83"/>
      <c r="B329" s="19" t="s">
        <v>22</v>
      </c>
      <c r="C329" s="63">
        <v>905</v>
      </c>
      <c r="D329" s="8" t="s">
        <v>10</v>
      </c>
      <c r="E329" s="8" t="s">
        <v>5</v>
      </c>
      <c r="F329" s="8" t="s">
        <v>5</v>
      </c>
      <c r="G329" s="8" t="s">
        <v>116</v>
      </c>
      <c r="H329" s="8" t="s">
        <v>4</v>
      </c>
      <c r="I329" s="8" t="s">
        <v>333</v>
      </c>
      <c r="J329" s="61" t="s">
        <v>69</v>
      </c>
      <c r="K329" s="12">
        <f>29000-19000+19761.5+132000-19657.7-40000+9253.5</f>
        <v>111357.29999999999</v>
      </c>
      <c r="L329" s="12">
        <f>29000-19000+19761.5+132000-19657.7-40000+9253.5</f>
        <v>111357.29999999999</v>
      </c>
      <c r="M329" s="12">
        <f t="shared" si="46"/>
        <v>100</v>
      </c>
      <c r="O329" s="7"/>
      <c r="P329" s="7"/>
      <c r="Q329" s="7"/>
      <c r="R329" s="7"/>
      <c r="S329" s="7"/>
      <c r="T329" s="7"/>
      <c r="U329" s="7"/>
      <c r="V329" s="7"/>
      <c r="W329" s="7"/>
      <c r="X329" s="7"/>
    </row>
    <row r="330" spans="1:24" s="9" customFormat="1" ht="31.5" x14ac:dyDescent="0.2">
      <c r="A330" s="81">
        <v>4</v>
      </c>
      <c r="B330" s="19" t="s">
        <v>94</v>
      </c>
      <c r="C330" s="63">
        <v>910</v>
      </c>
      <c r="D330" s="40" t="s">
        <v>557</v>
      </c>
      <c r="E330" s="40" t="s">
        <v>557</v>
      </c>
      <c r="F330" s="5" t="s">
        <v>557</v>
      </c>
      <c r="G330" s="40" t="s">
        <v>557</v>
      </c>
      <c r="H330" s="5" t="s">
        <v>557</v>
      </c>
      <c r="I330" s="5" t="s">
        <v>557</v>
      </c>
      <c r="J330" s="40" t="s">
        <v>557</v>
      </c>
      <c r="K330" s="12">
        <f>SUM(K331+K353+K360)</f>
        <v>13065.399999999998</v>
      </c>
      <c r="L330" s="12">
        <f>SUM(L331+L353+L360)</f>
        <v>13062.3</v>
      </c>
      <c r="M330" s="12">
        <f t="shared" si="46"/>
        <v>99.976273210158141</v>
      </c>
      <c r="O330" s="7"/>
      <c r="P330" s="7"/>
      <c r="Q330" s="7"/>
      <c r="R330" s="7"/>
      <c r="S330" s="7"/>
      <c r="T330" s="7"/>
      <c r="U330" s="7"/>
      <c r="V330" s="7"/>
      <c r="W330" s="7"/>
      <c r="X330" s="7"/>
    </row>
    <row r="331" spans="1:24" s="9" customFormat="1" x14ac:dyDescent="0.2">
      <c r="A331" s="82"/>
      <c r="B331" s="19" t="s">
        <v>1</v>
      </c>
      <c r="C331" s="63">
        <v>910</v>
      </c>
      <c r="D331" s="8" t="s">
        <v>2</v>
      </c>
      <c r="E331" s="40" t="s">
        <v>557</v>
      </c>
      <c r="F331" s="5" t="s">
        <v>557</v>
      </c>
      <c r="G331" s="40" t="s">
        <v>557</v>
      </c>
      <c r="H331" s="5" t="s">
        <v>557</v>
      </c>
      <c r="I331" s="5" t="s">
        <v>557</v>
      </c>
      <c r="J331" s="40" t="s">
        <v>557</v>
      </c>
      <c r="K331" s="12">
        <f>SUM(K332+K347)</f>
        <v>12359.899999999998</v>
      </c>
      <c r="L331" s="12">
        <f>SUM(L332+L347)</f>
        <v>12356.8</v>
      </c>
      <c r="M331" s="12">
        <f t="shared" si="46"/>
        <v>99.974918890929558</v>
      </c>
      <c r="O331" s="7"/>
      <c r="P331" s="7"/>
      <c r="Q331" s="7"/>
      <c r="R331" s="7"/>
      <c r="S331" s="7"/>
      <c r="T331" s="7"/>
      <c r="U331" s="7"/>
      <c r="V331" s="7"/>
      <c r="W331" s="7"/>
      <c r="X331" s="7"/>
    </row>
    <row r="332" spans="1:24" s="9" customFormat="1" ht="47.25" x14ac:dyDescent="0.2">
      <c r="A332" s="82"/>
      <c r="B332" s="19" t="s">
        <v>45</v>
      </c>
      <c r="C332" s="63">
        <v>910</v>
      </c>
      <c r="D332" s="8" t="s">
        <v>2</v>
      </c>
      <c r="E332" s="8" t="s">
        <v>30</v>
      </c>
      <c r="F332" s="5" t="s">
        <v>557</v>
      </c>
      <c r="G332" s="40" t="s">
        <v>557</v>
      </c>
      <c r="H332" s="5" t="s">
        <v>557</v>
      </c>
      <c r="I332" s="5" t="s">
        <v>557</v>
      </c>
      <c r="J332" s="40" t="s">
        <v>557</v>
      </c>
      <c r="K332" s="12">
        <f>SUM(K333+K338)</f>
        <v>12332.599999999999</v>
      </c>
      <c r="L332" s="12">
        <f>SUM(L333+L338)</f>
        <v>12329.5</v>
      </c>
      <c r="M332" s="12">
        <f t="shared" si="46"/>
        <v>99.974863370254468</v>
      </c>
      <c r="O332" s="7"/>
      <c r="P332" s="7"/>
      <c r="Q332" s="7"/>
      <c r="R332" s="7"/>
      <c r="S332" s="7"/>
      <c r="T332" s="7"/>
      <c r="U332" s="7"/>
      <c r="V332" s="7"/>
      <c r="W332" s="7"/>
      <c r="X332" s="7"/>
    </row>
    <row r="333" spans="1:24" s="9" customFormat="1" ht="31.5" x14ac:dyDescent="0.2">
      <c r="A333" s="82"/>
      <c r="B333" s="41" t="s">
        <v>255</v>
      </c>
      <c r="C333" s="63">
        <v>910</v>
      </c>
      <c r="D333" s="8" t="s">
        <v>2</v>
      </c>
      <c r="E333" s="8" t="s">
        <v>30</v>
      </c>
      <c r="F333" s="61" t="s">
        <v>118</v>
      </c>
      <c r="G333" s="40" t="s">
        <v>557</v>
      </c>
      <c r="H333" s="5" t="s">
        <v>557</v>
      </c>
      <c r="I333" s="5" t="s">
        <v>557</v>
      </c>
      <c r="J333" s="40" t="s">
        <v>557</v>
      </c>
      <c r="K333" s="12">
        <f t="shared" ref="K333:L336" si="47">K334</f>
        <v>660</v>
      </c>
      <c r="L333" s="12">
        <f t="shared" si="47"/>
        <v>660</v>
      </c>
      <c r="M333" s="12">
        <f t="shared" si="46"/>
        <v>100</v>
      </c>
      <c r="O333" s="7"/>
      <c r="P333" s="7"/>
      <c r="Q333" s="7"/>
      <c r="R333" s="7"/>
      <c r="S333" s="7"/>
      <c r="T333" s="7"/>
      <c r="U333" s="7"/>
      <c r="V333" s="7"/>
      <c r="W333" s="7"/>
      <c r="X333" s="7"/>
    </row>
    <row r="334" spans="1:24" s="9" customFormat="1" ht="63" x14ac:dyDescent="0.2">
      <c r="A334" s="82"/>
      <c r="B334" s="41" t="s">
        <v>119</v>
      </c>
      <c r="C334" s="63">
        <v>910</v>
      </c>
      <c r="D334" s="8" t="s">
        <v>2</v>
      </c>
      <c r="E334" s="8" t="s">
        <v>30</v>
      </c>
      <c r="F334" s="61" t="s">
        <v>118</v>
      </c>
      <c r="G334" s="62">
        <v>1</v>
      </c>
      <c r="H334" s="5" t="s">
        <v>557</v>
      </c>
      <c r="I334" s="5" t="s">
        <v>557</v>
      </c>
      <c r="J334" s="40" t="s">
        <v>557</v>
      </c>
      <c r="K334" s="12">
        <f t="shared" si="47"/>
        <v>660</v>
      </c>
      <c r="L334" s="12">
        <f t="shared" si="47"/>
        <v>660</v>
      </c>
      <c r="M334" s="12">
        <f t="shared" si="46"/>
        <v>100</v>
      </c>
      <c r="O334" s="7"/>
      <c r="P334" s="7"/>
      <c r="Q334" s="7"/>
      <c r="R334" s="7"/>
      <c r="S334" s="7"/>
      <c r="T334" s="7"/>
      <c r="U334" s="7"/>
      <c r="V334" s="7"/>
      <c r="W334" s="7"/>
      <c r="X334" s="7"/>
    </row>
    <row r="335" spans="1:24" s="9" customFormat="1" ht="31.5" x14ac:dyDescent="0.2">
      <c r="A335" s="82"/>
      <c r="B335" s="19" t="s">
        <v>203</v>
      </c>
      <c r="C335" s="63">
        <v>910</v>
      </c>
      <c r="D335" s="8" t="s">
        <v>2</v>
      </c>
      <c r="E335" s="8" t="s">
        <v>30</v>
      </c>
      <c r="F335" s="61" t="s">
        <v>118</v>
      </c>
      <c r="G335" s="62">
        <v>1</v>
      </c>
      <c r="H335" s="61" t="s">
        <v>5</v>
      </c>
      <c r="I335" s="5" t="s">
        <v>557</v>
      </c>
      <c r="J335" s="40" t="s">
        <v>557</v>
      </c>
      <c r="K335" s="12">
        <f t="shared" si="47"/>
        <v>660</v>
      </c>
      <c r="L335" s="12">
        <f t="shared" si="47"/>
        <v>660</v>
      </c>
      <c r="M335" s="12">
        <f t="shared" si="46"/>
        <v>100</v>
      </c>
      <c r="O335" s="7"/>
      <c r="P335" s="7"/>
      <c r="Q335" s="7"/>
      <c r="R335" s="7"/>
      <c r="S335" s="7"/>
      <c r="T335" s="7"/>
      <c r="U335" s="7"/>
      <c r="V335" s="7"/>
      <c r="W335" s="7"/>
      <c r="X335" s="7"/>
    </row>
    <row r="336" spans="1:24" s="9" customFormat="1" ht="34.5" customHeight="1" x14ac:dyDescent="0.2">
      <c r="A336" s="82"/>
      <c r="B336" s="19" t="s">
        <v>257</v>
      </c>
      <c r="C336" s="63">
        <v>910</v>
      </c>
      <c r="D336" s="8" t="s">
        <v>2</v>
      </c>
      <c r="E336" s="8" t="s">
        <v>30</v>
      </c>
      <c r="F336" s="61" t="s">
        <v>118</v>
      </c>
      <c r="G336" s="62">
        <v>1</v>
      </c>
      <c r="H336" s="61" t="s">
        <v>5</v>
      </c>
      <c r="I336" s="61" t="s">
        <v>204</v>
      </c>
      <c r="J336" s="40" t="s">
        <v>557</v>
      </c>
      <c r="K336" s="12">
        <f t="shared" si="47"/>
        <v>660</v>
      </c>
      <c r="L336" s="12">
        <f t="shared" si="47"/>
        <v>660</v>
      </c>
      <c r="M336" s="12">
        <f t="shared" si="46"/>
        <v>100</v>
      </c>
      <c r="O336" s="7"/>
      <c r="P336" s="7"/>
      <c r="Q336" s="7"/>
      <c r="R336" s="7"/>
      <c r="S336" s="7"/>
      <c r="T336" s="7"/>
      <c r="U336" s="7"/>
      <c r="V336" s="7"/>
      <c r="W336" s="7"/>
      <c r="X336" s="7"/>
    </row>
    <row r="337" spans="1:14" ht="31.5" x14ac:dyDescent="0.2">
      <c r="A337" s="82"/>
      <c r="B337" s="19" t="s">
        <v>164</v>
      </c>
      <c r="C337" s="63">
        <v>910</v>
      </c>
      <c r="D337" s="8" t="s">
        <v>2</v>
      </c>
      <c r="E337" s="8" t="s">
        <v>30</v>
      </c>
      <c r="F337" s="61" t="s">
        <v>118</v>
      </c>
      <c r="G337" s="62">
        <v>1</v>
      </c>
      <c r="H337" s="61" t="s">
        <v>5</v>
      </c>
      <c r="I337" s="61" t="s">
        <v>204</v>
      </c>
      <c r="J337" s="61" t="s">
        <v>57</v>
      </c>
      <c r="K337" s="12">
        <v>660</v>
      </c>
      <c r="L337" s="12">
        <v>660</v>
      </c>
      <c r="M337" s="12">
        <f t="shared" si="46"/>
        <v>100</v>
      </c>
    </row>
    <row r="338" spans="1:14" ht="47.25" x14ac:dyDescent="0.2">
      <c r="A338" s="82"/>
      <c r="B338" s="19" t="s">
        <v>70</v>
      </c>
      <c r="C338" s="63">
        <v>910</v>
      </c>
      <c r="D338" s="8" t="s">
        <v>2</v>
      </c>
      <c r="E338" s="8" t="s">
        <v>30</v>
      </c>
      <c r="F338" s="8" t="s">
        <v>135</v>
      </c>
      <c r="G338" s="40" t="s">
        <v>557</v>
      </c>
      <c r="H338" s="5" t="s">
        <v>557</v>
      </c>
      <c r="I338" s="5" t="s">
        <v>557</v>
      </c>
      <c r="J338" s="40" t="s">
        <v>557</v>
      </c>
      <c r="K338" s="12">
        <f>K339</f>
        <v>11672.599999999999</v>
      </c>
      <c r="L338" s="12">
        <f>L339</f>
        <v>11669.5</v>
      </c>
      <c r="M338" s="12">
        <f t="shared" si="46"/>
        <v>99.973442078028896</v>
      </c>
    </row>
    <row r="339" spans="1:14" s="28" customFormat="1" ht="47.25" x14ac:dyDescent="0.2">
      <c r="A339" s="82"/>
      <c r="B339" s="19" t="s">
        <v>70</v>
      </c>
      <c r="C339" s="63">
        <v>910</v>
      </c>
      <c r="D339" s="8" t="s">
        <v>2</v>
      </c>
      <c r="E339" s="8" t="s">
        <v>30</v>
      </c>
      <c r="F339" s="8" t="s">
        <v>135</v>
      </c>
      <c r="G339" s="63">
        <v>2</v>
      </c>
      <c r="H339" s="5" t="s">
        <v>557</v>
      </c>
      <c r="I339" s="5" t="s">
        <v>557</v>
      </c>
      <c r="J339" s="40" t="s">
        <v>557</v>
      </c>
      <c r="K339" s="12">
        <f>SUM(K340+K344)</f>
        <v>11672.599999999999</v>
      </c>
      <c r="L339" s="12">
        <f>SUM(L340+L344)</f>
        <v>11669.5</v>
      </c>
      <c r="M339" s="12">
        <f t="shared" si="46"/>
        <v>99.973442078028896</v>
      </c>
      <c r="N339" s="9"/>
    </row>
    <row r="340" spans="1:14" s="28" customFormat="1" ht="31.5" x14ac:dyDescent="0.2">
      <c r="A340" s="82"/>
      <c r="B340" s="19" t="s">
        <v>53</v>
      </c>
      <c r="C340" s="63">
        <v>910</v>
      </c>
      <c r="D340" s="8" t="s">
        <v>2</v>
      </c>
      <c r="E340" s="8" t="s">
        <v>30</v>
      </c>
      <c r="F340" s="8" t="s">
        <v>135</v>
      </c>
      <c r="G340" s="63">
        <v>2</v>
      </c>
      <c r="H340" s="8" t="s">
        <v>97</v>
      </c>
      <c r="I340" s="8" t="s">
        <v>99</v>
      </c>
      <c r="J340" s="40" t="s">
        <v>557</v>
      </c>
      <c r="K340" s="12">
        <f>SUM(K341:K343)</f>
        <v>8011.8</v>
      </c>
      <c r="L340" s="12">
        <f>SUM(L341:L343)</f>
        <v>8008.7000000000007</v>
      </c>
      <c r="M340" s="12">
        <f t="shared" si="46"/>
        <v>99.961307072068706</v>
      </c>
      <c r="N340" s="9"/>
    </row>
    <row r="341" spans="1:14" s="28" customFormat="1" ht="47.25" customHeight="1" x14ac:dyDescent="0.2">
      <c r="A341" s="82"/>
      <c r="B341" s="19" t="s">
        <v>54</v>
      </c>
      <c r="C341" s="63">
        <v>910</v>
      </c>
      <c r="D341" s="8" t="s">
        <v>2</v>
      </c>
      <c r="E341" s="8" t="s">
        <v>30</v>
      </c>
      <c r="F341" s="8" t="s">
        <v>135</v>
      </c>
      <c r="G341" s="63">
        <v>2</v>
      </c>
      <c r="H341" s="8" t="s">
        <v>97</v>
      </c>
      <c r="I341" s="8" t="s">
        <v>99</v>
      </c>
      <c r="J341" s="8" t="s">
        <v>55</v>
      </c>
      <c r="K341" s="12">
        <f>6782.3+1008.8+45</f>
        <v>7836.1</v>
      </c>
      <c r="L341" s="12">
        <f>6782.3+1008.8+45</f>
        <v>7836.1</v>
      </c>
      <c r="M341" s="12">
        <f t="shared" si="46"/>
        <v>100</v>
      </c>
      <c r="N341" s="9"/>
    </row>
    <row r="342" spans="1:14" s="28" customFormat="1" ht="31.5" x14ac:dyDescent="0.2">
      <c r="A342" s="82"/>
      <c r="B342" s="19" t="s">
        <v>164</v>
      </c>
      <c r="C342" s="63">
        <v>910</v>
      </c>
      <c r="D342" s="8" t="s">
        <v>2</v>
      </c>
      <c r="E342" s="8" t="s">
        <v>30</v>
      </c>
      <c r="F342" s="8" t="s">
        <v>135</v>
      </c>
      <c r="G342" s="63">
        <v>2</v>
      </c>
      <c r="H342" s="8" t="s">
        <v>97</v>
      </c>
      <c r="I342" s="8" t="s">
        <v>99</v>
      </c>
      <c r="J342" s="8" t="s">
        <v>57</v>
      </c>
      <c r="K342" s="12">
        <v>150.69999999999999</v>
      </c>
      <c r="L342" s="12">
        <v>147.6</v>
      </c>
      <c r="M342" s="12">
        <f t="shared" si="46"/>
        <v>97.94293297942933</v>
      </c>
      <c r="N342" s="9"/>
    </row>
    <row r="343" spans="1:14" s="28" customFormat="1" x14ac:dyDescent="0.2">
      <c r="A343" s="82"/>
      <c r="B343" s="19" t="s">
        <v>59</v>
      </c>
      <c r="C343" s="63">
        <v>910</v>
      </c>
      <c r="D343" s="8" t="s">
        <v>2</v>
      </c>
      <c r="E343" s="8" t="s">
        <v>30</v>
      </c>
      <c r="F343" s="8" t="s">
        <v>135</v>
      </c>
      <c r="G343" s="63">
        <v>2</v>
      </c>
      <c r="H343" s="8" t="s">
        <v>97</v>
      </c>
      <c r="I343" s="8" t="s">
        <v>99</v>
      </c>
      <c r="J343" s="8" t="s">
        <v>60</v>
      </c>
      <c r="K343" s="12">
        <f>27-2</f>
        <v>25</v>
      </c>
      <c r="L343" s="12">
        <f>27-2</f>
        <v>25</v>
      </c>
      <c r="M343" s="12">
        <f t="shared" si="46"/>
        <v>100</v>
      </c>
      <c r="N343" s="9"/>
    </row>
    <row r="344" spans="1:14" s="28" customFormat="1" ht="63" x14ac:dyDescent="0.2">
      <c r="A344" s="82"/>
      <c r="B344" s="19" t="s">
        <v>216</v>
      </c>
      <c r="C344" s="63">
        <v>910</v>
      </c>
      <c r="D344" s="8" t="s">
        <v>2</v>
      </c>
      <c r="E344" s="8" t="s">
        <v>30</v>
      </c>
      <c r="F344" s="8" t="s">
        <v>135</v>
      </c>
      <c r="G344" s="63">
        <v>2</v>
      </c>
      <c r="H344" s="8" t="s">
        <v>97</v>
      </c>
      <c r="I344" s="8" t="s">
        <v>217</v>
      </c>
      <c r="J344" s="40" t="s">
        <v>557</v>
      </c>
      <c r="K344" s="12">
        <f>SUM(K345:K346)</f>
        <v>3660.7999999999993</v>
      </c>
      <c r="L344" s="12">
        <f>SUM(L345:L346)</f>
        <v>3660.7999999999993</v>
      </c>
      <c r="M344" s="12">
        <f t="shared" si="46"/>
        <v>100</v>
      </c>
      <c r="N344" s="9"/>
    </row>
    <row r="345" spans="1:14" s="28" customFormat="1" ht="78.75" x14ac:dyDescent="0.2">
      <c r="A345" s="82"/>
      <c r="B345" s="19" t="s">
        <v>163</v>
      </c>
      <c r="C345" s="63">
        <v>910</v>
      </c>
      <c r="D345" s="8" t="s">
        <v>2</v>
      </c>
      <c r="E345" s="8" t="s">
        <v>30</v>
      </c>
      <c r="F345" s="8" t="s">
        <v>135</v>
      </c>
      <c r="G345" s="63">
        <v>2</v>
      </c>
      <c r="H345" s="8" t="s">
        <v>97</v>
      </c>
      <c r="I345" s="8" t="s">
        <v>217</v>
      </c>
      <c r="J345" s="8" t="s">
        <v>55</v>
      </c>
      <c r="K345" s="12">
        <f>2764.1+163.6+310.1+2.6+291.1</f>
        <v>3531.4999999999995</v>
      </c>
      <c r="L345" s="12">
        <f>2764.1+163.6+310.1+2.6+291.1</f>
        <v>3531.4999999999995</v>
      </c>
      <c r="M345" s="12">
        <f t="shared" si="46"/>
        <v>100</v>
      </c>
      <c r="N345" s="9"/>
    </row>
    <row r="346" spans="1:14" s="28" customFormat="1" ht="31.5" x14ac:dyDescent="0.2">
      <c r="A346" s="82"/>
      <c r="B346" s="19" t="s">
        <v>164</v>
      </c>
      <c r="C346" s="63">
        <v>910</v>
      </c>
      <c r="D346" s="8" t="s">
        <v>2</v>
      </c>
      <c r="E346" s="8" t="s">
        <v>30</v>
      </c>
      <c r="F346" s="8" t="s">
        <v>135</v>
      </c>
      <c r="G346" s="63">
        <v>2</v>
      </c>
      <c r="H346" s="8" t="s">
        <v>97</v>
      </c>
      <c r="I346" s="8" t="s">
        <v>217</v>
      </c>
      <c r="J346" s="8" t="s">
        <v>57</v>
      </c>
      <c r="K346" s="12">
        <f>423-2.6-291.1</f>
        <v>129.29999999999995</v>
      </c>
      <c r="L346" s="12">
        <f>423-2.6-291.1</f>
        <v>129.29999999999995</v>
      </c>
      <c r="M346" s="12">
        <f t="shared" si="46"/>
        <v>100</v>
      </c>
      <c r="N346" s="9"/>
    </row>
    <row r="347" spans="1:14" s="28" customFormat="1" x14ac:dyDescent="0.2">
      <c r="A347" s="82"/>
      <c r="B347" s="19" t="s">
        <v>9</v>
      </c>
      <c r="C347" s="62">
        <v>910</v>
      </c>
      <c r="D347" s="8" t="s">
        <v>2</v>
      </c>
      <c r="E347" s="8" t="s">
        <v>41</v>
      </c>
      <c r="F347" s="5" t="s">
        <v>557</v>
      </c>
      <c r="G347" s="40" t="s">
        <v>557</v>
      </c>
      <c r="H347" s="5" t="s">
        <v>557</v>
      </c>
      <c r="I347" s="5" t="s">
        <v>557</v>
      </c>
      <c r="J347" s="40" t="s">
        <v>557</v>
      </c>
      <c r="K347" s="12">
        <f t="shared" ref="K347:L351" si="48">SUM(K348)</f>
        <v>27.3</v>
      </c>
      <c r="L347" s="12">
        <f t="shared" si="48"/>
        <v>27.3</v>
      </c>
      <c r="M347" s="12">
        <f t="shared" si="46"/>
        <v>100</v>
      </c>
      <c r="N347" s="9"/>
    </row>
    <row r="348" spans="1:14" s="28" customFormat="1" ht="46.5" customHeight="1" x14ac:dyDescent="0.2">
      <c r="A348" s="82"/>
      <c r="B348" s="19" t="s">
        <v>231</v>
      </c>
      <c r="C348" s="62">
        <v>910</v>
      </c>
      <c r="D348" s="8" t="s">
        <v>2</v>
      </c>
      <c r="E348" s="8" t="s">
        <v>41</v>
      </c>
      <c r="F348" s="8" t="s">
        <v>8</v>
      </c>
      <c r="G348" s="40" t="s">
        <v>557</v>
      </c>
      <c r="H348" s="5" t="s">
        <v>557</v>
      </c>
      <c r="I348" s="5" t="s">
        <v>557</v>
      </c>
      <c r="J348" s="40" t="s">
        <v>557</v>
      </c>
      <c r="K348" s="12">
        <f t="shared" si="48"/>
        <v>27.3</v>
      </c>
      <c r="L348" s="12">
        <f t="shared" si="48"/>
        <v>27.3</v>
      </c>
      <c r="M348" s="12">
        <f t="shared" si="46"/>
        <v>100</v>
      </c>
      <c r="N348" s="9"/>
    </row>
    <row r="349" spans="1:14" s="28" customFormat="1" ht="63" x14ac:dyDescent="0.2">
      <c r="A349" s="82"/>
      <c r="B349" s="19" t="s">
        <v>232</v>
      </c>
      <c r="C349" s="62">
        <v>910</v>
      </c>
      <c r="D349" s="8" t="s">
        <v>2</v>
      </c>
      <c r="E349" s="8" t="s">
        <v>41</v>
      </c>
      <c r="F349" s="8" t="s">
        <v>8</v>
      </c>
      <c r="G349" s="63">
        <v>1</v>
      </c>
      <c r="H349" s="5" t="s">
        <v>557</v>
      </c>
      <c r="I349" s="5" t="s">
        <v>557</v>
      </c>
      <c r="J349" s="40" t="s">
        <v>557</v>
      </c>
      <c r="K349" s="12">
        <f t="shared" si="48"/>
        <v>27.3</v>
      </c>
      <c r="L349" s="12">
        <f t="shared" si="48"/>
        <v>27.3</v>
      </c>
      <c r="M349" s="12">
        <f t="shared" si="46"/>
        <v>100</v>
      </c>
      <c r="N349" s="9"/>
    </row>
    <row r="350" spans="1:14" s="28" customFormat="1" ht="35.25" customHeight="1" x14ac:dyDescent="0.2">
      <c r="A350" s="82"/>
      <c r="B350" s="19" t="s">
        <v>117</v>
      </c>
      <c r="C350" s="62">
        <v>910</v>
      </c>
      <c r="D350" s="8" t="s">
        <v>2</v>
      </c>
      <c r="E350" s="8" t="s">
        <v>41</v>
      </c>
      <c r="F350" s="8" t="s">
        <v>8</v>
      </c>
      <c r="G350" s="63">
        <v>1</v>
      </c>
      <c r="H350" s="8" t="s">
        <v>4</v>
      </c>
      <c r="I350" s="5" t="s">
        <v>557</v>
      </c>
      <c r="J350" s="40" t="s">
        <v>557</v>
      </c>
      <c r="K350" s="12">
        <f t="shared" si="48"/>
        <v>27.3</v>
      </c>
      <c r="L350" s="12">
        <f t="shared" si="48"/>
        <v>27.3</v>
      </c>
      <c r="M350" s="12">
        <f t="shared" si="46"/>
        <v>100</v>
      </c>
      <c r="N350" s="9"/>
    </row>
    <row r="351" spans="1:14" s="28" customFormat="1" ht="31.5" x14ac:dyDescent="0.2">
      <c r="A351" s="82"/>
      <c r="B351" s="19" t="s">
        <v>374</v>
      </c>
      <c r="C351" s="62">
        <v>910</v>
      </c>
      <c r="D351" s="8" t="s">
        <v>2</v>
      </c>
      <c r="E351" s="8" t="s">
        <v>41</v>
      </c>
      <c r="F351" s="8" t="s">
        <v>8</v>
      </c>
      <c r="G351" s="63">
        <v>1</v>
      </c>
      <c r="H351" s="8" t="s">
        <v>4</v>
      </c>
      <c r="I351" s="8" t="s">
        <v>373</v>
      </c>
      <c r="J351" s="40" t="s">
        <v>557</v>
      </c>
      <c r="K351" s="12">
        <f t="shared" si="48"/>
        <v>27.3</v>
      </c>
      <c r="L351" s="12">
        <f t="shared" si="48"/>
        <v>27.3</v>
      </c>
      <c r="M351" s="12">
        <f t="shared" si="46"/>
        <v>100</v>
      </c>
      <c r="N351" s="9"/>
    </row>
    <row r="352" spans="1:14" s="28" customFormat="1" ht="31.5" x14ac:dyDescent="0.2">
      <c r="A352" s="82"/>
      <c r="B352" s="19" t="s">
        <v>164</v>
      </c>
      <c r="C352" s="62">
        <v>910</v>
      </c>
      <c r="D352" s="8" t="s">
        <v>2</v>
      </c>
      <c r="E352" s="8" t="s">
        <v>41</v>
      </c>
      <c r="F352" s="8" t="s">
        <v>8</v>
      </c>
      <c r="G352" s="63">
        <v>1</v>
      </c>
      <c r="H352" s="8" t="s">
        <v>4</v>
      </c>
      <c r="I352" s="8" t="s">
        <v>373</v>
      </c>
      <c r="J352" s="8" t="s">
        <v>57</v>
      </c>
      <c r="K352" s="12">
        <f>28.1-0.8</f>
        <v>27.3</v>
      </c>
      <c r="L352" s="12">
        <f>28.1-0.8</f>
        <v>27.3</v>
      </c>
      <c r="M352" s="12">
        <f t="shared" si="46"/>
        <v>100</v>
      </c>
      <c r="N352" s="9"/>
    </row>
    <row r="353" spans="1:14" s="28" customFormat="1" x14ac:dyDescent="0.2">
      <c r="A353" s="82"/>
      <c r="B353" s="19" t="s">
        <v>15</v>
      </c>
      <c r="C353" s="62">
        <v>910</v>
      </c>
      <c r="D353" s="8" t="s">
        <v>6</v>
      </c>
      <c r="E353" s="40" t="s">
        <v>557</v>
      </c>
      <c r="F353" s="5" t="s">
        <v>557</v>
      </c>
      <c r="G353" s="40" t="s">
        <v>557</v>
      </c>
      <c r="H353" s="5" t="s">
        <v>557</v>
      </c>
      <c r="I353" s="5" t="s">
        <v>557</v>
      </c>
      <c r="J353" s="40" t="s">
        <v>557</v>
      </c>
      <c r="K353" s="12">
        <f>SUM(K354)</f>
        <v>677.2</v>
      </c>
      <c r="L353" s="12">
        <f>SUM(L354)</f>
        <v>677.2</v>
      </c>
      <c r="M353" s="12">
        <f t="shared" si="46"/>
        <v>100</v>
      </c>
      <c r="N353" s="9"/>
    </row>
    <row r="354" spans="1:14" s="28" customFormat="1" ht="21" customHeight="1" x14ac:dyDescent="0.2">
      <c r="A354" s="82"/>
      <c r="B354" s="19" t="s">
        <v>87</v>
      </c>
      <c r="C354" s="62">
        <v>910</v>
      </c>
      <c r="D354" s="8" t="s">
        <v>6</v>
      </c>
      <c r="E354" s="8" t="s">
        <v>88</v>
      </c>
      <c r="F354" s="5" t="s">
        <v>557</v>
      </c>
      <c r="G354" s="40" t="s">
        <v>557</v>
      </c>
      <c r="H354" s="5" t="s">
        <v>557</v>
      </c>
      <c r="I354" s="5" t="s">
        <v>557</v>
      </c>
      <c r="J354" s="40" t="s">
        <v>557</v>
      </c>
      <c r="K354" s="12">
        <f t="shared" ref="K354:L358" si="49">SUM(K355)</f>
        <v>677.2</v>
      </c>
      <c r="L354" s="12">
        <f t="shared" si="49"/>
        <v>677.2</v>
      </c>
      <c r="M354" s="12">
        <f t="shared" si="46"/>
        <v>100</v>
      </c>
      <c r="N354" s="9"/>
    </row>
    <row r="355" spans="1:14" s="28" customFormat="1" ht="49.5" customHeight="1" x14ac:dyDescent="0.2">
      <c r="A355" s="82"/>
      <c r="B355" s="41" t="s">
        <v>249</v>
      </c>
      <c r="C355" s="62">
        <v>910</v>
      </c>
      <c r="D355" s="8" t="s">
        <v>6</v>
      </c>
      <c r="E355" s="8" t="s">
        <v>88</v>
      </c>
      <c r="F355" s="8" t="s">
        <v>8</v>
      </c>
      <c r="G355" s="40" t="s">
        <v>557</v>
      </c>
      <c r="H355" s="5" t="s">
        <v>557</v>
      </c>
      <c r="I355" s="5" t="s">
        <v>557</v>
      </c>
      <c r="J355" s="40" t="s">
        <v>557</v>
      </c>
      <c r="K355" s="12">
        <f t="shared" si="49"/>
        <v>677.2</v>
      </c>
      <c r="L355" s="12">
        <f t="shared" si="49"/>
        <v>677.2</v>
      </c>
      <c r="M355" s="12">
        <f t="shared" si="46"/>
        <v>100</v>
      </c>
      <c r="N355" s="9"/>
    </row>
    <row r="356" spans="1:14" s="28" customFormat="1" ht="63" x14ac:dyDescent="0.2">
      <c r="A356" s="82"/>
      <c r="B356" s="41" t="s">
        <v>232</v>
      </c>
      <c r="C356" s="62">
        <v>910</v>
      </c>
      <c r="D356" s="8" t="s">
        <v>6</v>
      </c>
      <c r="E356" s="8" t="s">
        <v>88</v>
      </c>
      <c r="F356" s="8" t="s">
        <v>8</v>
      </c>
      <c r="G356" s="8" t="s">
        <v>116</v>
      </c>
      <c r="H356" s="5" t="s">
        <v>557</v>
      </c>
      <c r="I356" s="5" t="s">
        <v>557</v>
      </c>
      <c r="J356" s="40" t="s">
        <v>557</v>
      </c>
      <c r="K356" s="12">
        <f t="shared" si="49"/>
        <v>677.2</v>
      </c>
      <c r="L356" s="12">
        <f t="shared" si="49"/>
        <v>677.2</v>
      </c>
      <c r="M356" s="12">
        <f t="shared" si="46"/>
        <v>100</v>
      </c>
      <c r="N356" s="9"/>
    </row>
    <row r="357" spans="1:14" s="28" customFormat="1" ht="34.5" customHeight="1" x14ac:dyDescent="0.2">
      <c r="A357" s="82"/>
      <c r="B357" s="41" t="s">
        <v>117</v>
      </c>
      <c r="C357" s="62">
        <v>910</v>
      </c>
      <c r="D357" s="8" t="s">
        <v>6</v>
      </c>
      <c r="E357" s="8" t="s">
        <v>88</v>
      </c>
      <c r="F357" s="8" t="s">
        <v>8</v>
      </c>
      <c r="G357" s="8" t="s">
        <v>116</v>
      </c>
      <c r="H357" s="8" t="s">
        <v>4</v>
      </c>
      <c r="I357" s="5" t="s">
        <v>557</v>
      </c>
      <c r="J357" s="40" t="s">
        <v>557</v>
      </c>
      <c r="K357" s="12">
        <f t="shared" si="49"/>
        <v>677.2</v>
      </c>
      <c r="L357" s="12">
        <f t="shared" si="49"/>
        <v>677.2</v>
      </c>
      <c r="M357" s="12">
        <f t="shared" si="46"/>
        <v>100</v>
      </c>
      <c r="N357" s="9"/>
    </row>
    <row r="358" spans="1:14" s="28" customFormat="1" ht="47.25" x14ac:dyDescent="0.2">
      <c r="A358" s="82"/>
      <c r="B358" s="45" t="s">
        <v>381</v>
      </c>
      <c r="C358" s="62">
        <v>910</v>
      </c>
      <c r="D358" s="8" t="s">
        <v>6</v>
      </c>
      <c r="E358" s="8" t="s">
        <v>88</v>
      </c>
      <c r="F358" s="8" t="s">
        <v>8</v>
      </c>
      <c r="G358" s="8" t="s">
        <v>116</v>
      </c>
      <c r="H358" s="8" t="s">
        <v>4</v>
      </c>
      <c r="I358" s="8" t="s">
        <v>380</v>
      </c>
      <c r="J358" s="40" t="s">
        <v>557</v>
      </c>
      <c r="K358" s="12">
        <f t="shared" si="49"/>
        <v>677.2</v>
      </c>
      <c r="L358" s="12">
        <f t="shared" si="49"/>
        <v>677.2</v>
      </c>
      <c r="M358" s="12">
        <f t="shared" si="46"/>
        <v>100</v>
      </c>
      <c r="N358" s="9"/>
    </row>
    <row r="359" spans="1:14" s="28" customFormat="1" ht="31.5" x14ac:dyDescent="0.2">
      <c r="A359" s="82"/>
      <c r="B359" s="19" t="s">
        <v>164</v>
      </c>
      <c r="C359" s="62">
        <v>910</v>
      </c>
      <c r="D359" s="8" t="s">
        <v>6</v>
      </c>
      <c r="E359" s="8" t="s">
        <v>88</v>
      </c>
      <c r="F359" s="8" t="s">
        <v>8</v>
      </c>
      <c r="G359" s="8" t="s">
        <v>116</v>
      </c>
      <c r="H359" s="8" t="s">
        <v>4</v>
      </c>
      <c r="I359" s="8" t="s">
        <v>380</v>
      </c>
      <c r="J359" s="8" t="s">
        <v>57</v>
      </c>
      <c r="K359" s="12">
        <f>386.9+290.3</f>
        <v>677.2</v>
      </c>
      <c r="L359" s="12">
        <f>386.9+290.3</f>
        <v>677.2</v>
      </c>
      <c r="M359" s="12">
        <f t="shared" si="46"/>
        <v>100</v>
      </c>
      <c r="N359" s="9"/>
    </row>
    <row r="360" spans="1:14" s="28" customFormat="1" x14ac:dyDescent="0.2">
      <c r="A360" s="82"/>
      <c r="B360" s="19" t="s">
        <v>18</v>
      </c>
      <c r="C360" s="62">
        <v>910</v>
      </c>
      <c r="D360" s="61" t="s">
        <v>8</v>
      </c>
      <c r="E360" s="40" t="s">
        <v>557</v>
      </c>
      <c r="F360" s="5" t="s">
        <v>557</v>
      </c>
      <c r="G360" s="40" t="s">
        <v>557</v>
      </c>
      <c r="H360" s="5" t="s">
        <v>557</v>
      </c>
      <c r="I360" s="5" t="s">
        <v>557</v>
      </c>
      <c r="J360" s="40" t="s">
        <v>557</v>
      </c>
      <c r="K360" s="12">
        <f t="shared" ref="K360:L365" si="50">SUM(K361)</f>
        <v>28.299999999999997</v>
      </c>
      <c r="L360" s="12">
        <f t="shared" si="50"/>
        <v>28.299999999999997</v>
      </c>
      <c r="M360" s="12">
        <f t="shared" si="46"/>
        <v>100</v>
      </c>
      <c r="N360" s="9"/>
    </row>
    <row r="361" spans="1:14" s="28" customFormat="1" ht="31.5" x14ac:dyDescent="0.2">
      <c r="A361" s="82"/>
      <c r="B361" s="19" t="s">
        <v>375</v>
      </c>
      <c r="C361" s="62">
        <v>910</v>
      </c>
      <c r="D361" s="61" t="s">
        <v>8</v>
      </c>
      <c r="E361" s="61" t="s">
        <v>7</v>
      </c>
      <c r="F361" s="5" t="s">
        <v>557</v>
      </c>
      <c r="G361" s="40" t="s">
        <v>557</v>
      </c>
      <c r="H361" s="5" t="s">
        <v>557</v>
      </c>
      <c r="I361" s="5" t="s">
        <v>557</v>
      </c>
      <c r="J361" s="40" t="s">
        <v>557</v>
      </c>
      <c r="K361" s="12">
        <f t="shared" si="50"/>
        <v>28.299999999999997</v>
      </c>
      <c r="L361" s="12">
        <f t="shared" si="50"/>
        <v>28.299999999999997</v>
      </c>
      <c r="M361" s="12">
        <f t="shared" si="46"/>
        <v>100</v>
      </c>
      <c r="N361" s="9"/>
    </row>
    <row r="362" spans="1:14" s="28" customFormat="1" ht="50.25" customHeight="1" x14ac:dyDescent="0.2">
      <c r="A362" s="82"/>
      <c r="B362" s="19" t="s">
        <v>231</v>
      </c>
      <c r="C362" s="62">
        <v>910</v>
      </c>
      <c r="D362" s="61" t="s">
        <v>8</v>
      </c>
      <c r="E362" s="61" t="s">
        <v>7</v>
      </c>
      <c r="F362" s="8" t="s">
        <v>8</v>
      </c>
      <c r="G362" s="40" t="s">
        <v>557</v>
      </c>
      <c r="H362" s="5" t="s">
        <v>557</v>
      </c>
      <c r="I362" s="5" t="s">
        <v>557</v>
      </c>
      <c r="J362" s="40" t="s">
        <v>557</v>
      </c>
      <c r="K362" s="12">
        <f t="shared" si="50"/>
        <v>28.299999999999997</v>
      </c>
      <c r="L362" s="12">
        <f t="shared" si="50"/>
        <v>28.299999999999997</v>
      </c>
      <c r="M362" s="12">
        <f t="shared" si="46"/>
        <v>100</v>
      </c>
      <c r="N362" s="9"/>
    </row>
    <row r="363" spans="1:14" s="28" customFormat="1" ht="63" x14ac:dyDescent="0.2">
      <c r="A363" s="82"/>
      <c r="B363" s="19" t="s">
        <v>232</v>
      </c>
      <c r="C363" s="62">
        <v>910</v>
      </c>
      <c r="D363" s="61" t="s">
        <v>8</v>
      </c>
      <c r="E363" s="61" t="s">
        <v>7</v>
      </c>
      <c r="F363" s="8" t="s">
        <v>8</v>
      </c>
      <c r="G363" s="8" t="s">
        <v>116</v>
      </c>
      <c r="H363" s="5" t="s">
        <v>557</v>
      </c>
      <c r="I363" s="5" t="s">
        <v>557</v>
      </c>
      <c r="J363" s="40" t="s">
        <v>557</v>
      </c>
      <c r="K363" s="12">
        <f t="shared" si="50"/>
        <v>28.299999999999997</v>
      </c>
      <c r="L363" s="12">
        <f t="shared" si="50"/>
        <v>28.299999999999997</v>
      </c>
      <c r="M363" s="12">
        <f t="shared" si="46"/>
        <v>100</v>
      </c>
      <c r="N363" s="9"/>
    </row>
    <row r="364" spans="1:14" s="28" customFormat="1" ht="34.5" customHeight="1" x14ac:dyDescent="0.2">
      <c r="A364" s="82"/>
      <c r="B364" s="19" t="s">
        <v>117</v>
      </c>
      <c r="C364" s="62">
        <v>910</v>
      </c>
      <c r="D364" s="61" t="s">
        <v>8</v>
      </c>
      <c r="E364" s="61" t="s">
        <v>7</v>
      </c>
      <c r="F364" s="8" t="s">
        <v>8</v>
      </c>
      <c r="G364" s="8" t="s">
        <v>116</v>
      </c>
      <c r="H364" s="8" t="s">
        <v>4</v>
      </c>
      <c r="I364" s="5" t="s">
        <v>557</v>
      </c>
      <c r="J364" s="40" t="s">
        <v>557</v>
      </c>
      <c r="K364" s="12">
        <f t="shared" si="50"/>
        <v>28.299999999999997</v>
      </c>
      <c r="L364" s="12">
        <f t="shared" si="50"/>
        <v>28.299999999999997</v>
      </c>
      <c r="M364" s="12">
        <f t="shared" si="46"/>
        <v>100</v>
      </c>
      <c r="N364" s="9"/>
    </row>
    <row r="365" spans="1:14" s="28" customFormat="1" ht="31.5" x14ac:dyDescent="0.2">
      <c r="A365" s="82"/>
      <c r="B365" s="19" t="s">
        <v>377</v>
      </c>
      <c r="C365" s="62">
        <v>910</v>
      </c>
      <c r="D365" s="61" t="s">
        <v>8</v>
      </c>
      <c r="E365" s="61" t="s">
        <v>7</v>
      </c>
      <c r="F365" s="8" t="s">
        <v>8</v>
      </c>
      <c r="G365" s="8" t="s">
        <v>116</v>
      </c>
      <c r="H365" s="8" t="s">
        <v>4</v>
      </c>
      <c r="I365" s="8" t="s">
        <v>376</v>
      </c>
      <c r="J365" s="40" t="s">
        <v>557</v>
      </c>
      <c r="K365" s="12">
        <f t="shared" si="50"/>
        <v>28.299999999999997</v>
      </c>
      <c r="L365" s="12">
        <f t="shared" si="50"/>
        <v>28.299999999999997</v>
      </c>
      <c r="M365" s="12">
        <f t="shared" si="46"/>
        <v>100</v>
      </c>
      <c r="N365" s="9"/>
    </row>
    <row r="366" spans="1:14" s="28" customFormat="1" ht="31.5" x14ac:dyDescent="0.2">
      <c r="A366" s="83"/>
      <c r="B366" s="19" t="s">
        <v>164</v>
      </c>
      <c r="C366" s="62">
        <v>910</v>
      </c>
      <c r="D366" s="61" t="s">
        <v>8</v>
      </c>
      <c r="E366" s="61" t="s">
        <v>7</v>
      </c>
      <c r="F366" s="8" t="s">
        <v>8</v>
      </c>
      <c r="G366" s="8" t="s">
        <v>116</v>
      </c>
      <c r="H366" s="8" t="s">
        <v>4</v>
      </c>
      <c r="I366" s="8" t="s">
        <v>376</v>
      </c>
      <c r="J366" s="61" t="s">
        <v>57</v>
      </c>
      <c r="K366" s="12">
        <f>61.5-33.2</f>
        <v>28.299999999999997</v>
      </c>
      <c r="L366" s="12">
        <f>61.5-33.2</f>
        <v>28.299999999999997</v>
      </c>
      <c r="M366" s="12">
        <f t="shared" si="46"/>
        <v>100</v>
      </c>
      <c r="N366" s="9"/>
    </row>
    <row r="367" spans="1:14" s="28" customFormat="1" ht="47.25" x14ac:dyDescent="0.2">
      <c r="A367" s="81">
        <v>5</v>
      </c>
      <c r="B367" s="19" t="s">
        <v>91</v>
      </c>
      <c r="C367" s="63">
        <v>918</v>
      </c>
      <c r="D367" s="40" t="s">
        <v>557</v>
      </c>
      <c r="E367" s="40" t="s">
        <v>557</v>
      </c>
      <c r="F367" s="5" t="s">
        <v>557</v>
      </c>
      <c r="G367" s="40" t="s">
        <v>557</v>
      </c>
      <c r="H367" s="5" t="s">
        <v>557</v>
      </c>
      <c r="I367" s="5" t="s">
        <v>557</v>
      </c>
      <c r="J367" s="40" t="s">
        <v>557</v>
      </c>
      <c r="K367" s="12">
        <f>K375+K393+K414+K368</f>
        <v>342240.99999999994</v>
      </c>
      <c r="L367" s="12">
        <f>L375+L393+L414+L368</f>
        <v>283852.69999999995</v>
      </c>
      <c r="M367" s="12">
        <f t="shared" si="46"/>
        <v>82.939419882480465</v>
      </c>
      <c r="N367" s="9"/>
    </row>
    <row r="368" spans="1:14" s="28" customFormat="1" x14ac:dyDescent="0.2">
      <c r="A368" s="82"/>
      <c r="B368" s="19" t="s">
        <v>1</v>
      </c>
      <c r="C368" s="63">
        <v>918</v>
      </c>
      <c r="D368" s="8" t="s">
        <v>2</v>
      </c>
      <c r="E368" s="40" t="s">
        <v>557</v>
      </c>
      <c r="F368" s="5" t="s">
        <v>557</v>
      </c>
      <c r="G368" s="40" t="s">
        <v>557</v>
      </c>
      <c r="H368" s="5" t="s">
        <v>557</v>
      </c>
      <c r="I368" s="5" t="s">
        <v>557</v>
      </c>
      <c r="J368" s="40" t="s">
        <v>557</v>
      </c>
      <c r="K368" s="12">
        <f t="shared" ref="K368:L373" si="51">K369</f>
        <v>2667.1</v>
      </c>
      <c r="L368" s="12">
        <f t="shared" si="51"/>
        <v>2667.1</v>
      </c>
      <c r="M368" s="12">
        <f t="shared" si="46"/>
        <v>100</v>
      </c>
      <c r="N368" s="9"/>
    </row>
    <row r="369" spans="1:14" s="28" customFormat="1" x14ac:dyDescent="0.2">
      <c r="A369" s="82"/>
      <c r="B369" s="19" t="s">
        <v>9</v>
      </c>
      <c r="C369" s="63">
        <v>918</v>
      </c>
      <c r="D369" s="8" t="s">
        <v>2</v>
      </c>
      <c r="E369" s="8" t="s">
        <v>41</v>
      </c>
      <c r="F369" s="5" t="s">
        <v>557</v>
      </c>
      <c r="G369" s="40" t="s">
        <v>557</v>
      </c>
      <c r="H369" s="5" t="s">
        <v>557</v>
      </c>
      <c r="I369" s="5" t="s">
        <v>557</v>
      </c>
      <c r="J369" s="40" t="s">
        <v>557</v>
      </c>
      <c r="K369" s="12">
        <f t="shared" si="51"/>
        <v>2667.1</v>
      </c>
      <c r="L369" s="12">
        <f t="shared" si="51"/>
        <v>2667.1</v>
      </c>
      <c r="M369" s="12">
        <f t="shared" si="46"/>
        <v>100</v>
      </c>
      <c r="N369" s="9"/>
    </row>
    <row r="370" spans="1:14" s="28" customFormat="1" ht="31.5" x14ac:dyDescent="0.2">
      <c r="A370" s="82"/>
      <c r="B370" s="19" t="s">
        <v>251</v>
      </c>
      <c r="C370" s="63">
        <v>918</v>
      </c>
      <c r="D370" s="8" t="s">
        <v>2</v>
      </c>
      <c r="E370" s="8" t="s">
        <v>41</v>
      </c>
      <c r="F370" s="8" t="s">
        <v>4</v>
      </c>
      <c r="G370" s="40" t="s">
        <v>557</v>
      </c>
      <c r="H370" s="5" t="s">
        <v>557</v>
      </c>
      <c r="I370" s="5" t="s">
        <v>557</v>
      </c>
      <c r="J370" s="40" t="s">
        <v>557</v>
      </c>
      <c r="K370" s="12">
        <f t="shared" si="51"/>
        <v>2667.1</v>
      </c>
      <c r="L370" s="12">
        <f t="shared" si="51"/>
        <v>2667.1</v>
      </c>
      <c r="M370" s="12">
        <f t="shared" si="46"/>
        <v>100</v>
      </c>
      <c r="N370" s="9"/>
    </row>
    <row r="371" spans="1:14" s="28" customFormat="1" ht="31.5" x14ac:dyDescent="0.2">
      <c r="A371" s="82"/>
      <c r="B371" s="19" t="s">
        <v>136</v>
      </c>
      <c r="C371" s="63">
        <v>918</v>
      </c>
      <c r="D371" s="8" t="s">
        <v>2</v>
      </c>
      <c r="E371" s="8" t="s">
        <v>41</v>
      </c>
      <c r="F371" s="8" t="s">
        <v>4</v>
      </c>
      <c r="G371" s="63">
        <v>1</v>
      </c>
      <c r="H371" s="5" t="s">
        <v>557</v>
      </c>
      <c r="I371" s="5" t="s">
        <v>557</v>
      </c>
      <c r="J371" s="40" t="s">
        <v>557</v>
      </c>
      <c r="K371" s="12">
        <f t="shared" si="51"/>
        <v>2667.1</v>
      </c>
      <c r="L371" s="12">
        <f t="shared" si="51"/>
        <v>2667.1</v>
      </c>
      <c r="M371" s="12">
        <f t="shared" si="46"/>
        <v>100</v>
      </c>
      <c r="N371" s="9"/>
    </row>
    <row r="372" spans="1:14" s="28" customFormat="1" ht="78.75" x14ac:dyDescent="0.2">
      <c r="A372" s="82"/>
      <c r="B372" s="41" t="s">
        <v>137</v>
      </c>
      <c r="C372" s="63">
        <v>918</v>
      </c>
      <c r="D372" s="8" t="s">
        <v>2</v>
      </c>
      <c r="E372" s="8" t="s">
        <v>41</v>
      </c>
      <c r="F372" s="8" t="s">
        <v>4</v>
      </c>
      <c r="G372" s="63">
        <v>1</v>
      </c>
      <c r="H372" s="8" t="s">
        <v>2</v>
      </c>
      <c r="I372" s="5" t="s">
        <v>557</v>
      </c>
      <c r="J372" s="40" t="s">
        <v>557</v>
      </c>
      <c r="K372" s="12">
        <f t="shared" si="51"/>
        <v>2667.1</v>
      </c>
      <c r="L372" s="12">
        <f t="shared" si="51"/>
        <v>2667.1</v>
      </c>
      <c r="M372" s="12">
        <f t="shared" si="46"/>
        <v>100</v>
      </c>
      <c r="N372" s="9"/>
    </row>
    <row r="373" spans="1:14" s="28" customFormat="1" ht="47.25" x14ac:dyDescent="0.2">
      <c r="A373" s="82"/>
      <c r="B373" s="41" t="s">
        <v>351</v>
      </c>
      <c r="C373" s="63">
        <v>918</v>
      </c>
      <c r="D373" s="8" t="s">
        <v>2</v>
      </c>
      <c r="E373" s="8" t="s">
        <v>41</v>
      </c>
      <c r="F373" s="8" t="s">
        <v>4</v>
      </c>
      <c r="G373" s="63">
        <v>1</v>
      </c>
      <c r="H373" s="8" t="s">
        <v>2</v>
      </c>
      <c r="I373" s="8" t="s">
        <v>313</v>
      </c>
      <c r="J373" s="40" t="s">
        <v>557</v>
      </c>
      <c r="K373" s="12">
        <f t="shared" si="51"/>
        <v>2667.1</v>
      </c>
      <c r="L373" s="12">
        <f t="shared" si="51"/>
        <v>2667.1</v>
      </c>
      <c r="M373" s="12">
        <f t="shared" si="46"/>
        <v>100</v>
      </c>
      <c r="N373" s="9"/>
    </row>
    <row r="374" spans="1:14" s="28" customFormat="1" ht="31.5" x14ac:dyDescent="0.2">
      <c r="A374" s="82"/>
      <c r="B374" s="41" t="s">
        <v>164</v>
      </c>
      <c r="C374" s="63">
        <v>918</v>
      </c>
      <c r="D374" s="8" t="s">
        <v>2</v>
      </c>
      <c r="E374" s="8" t="s">
        <v>41</v>
      </c>
      <c r="F374" s="8" t="s">
        <v>4</v>
      </c>
      <c r="G374" s="63">
        <v>1</v>
      </c>
      <c r="H374" s="8" t="s">
        <v>2</v>
      </c>
      <c r="I374" s="8" t="s">
        <v>313</v>
      </c>
      <c r="J374" s="8" t="s">
        <v>57</v>
      </c>
      <c r="K374" s="12">
        <f>1065.1+1905.4-293.9-9.5</f>
        <v>2667.1</v>
      </c>
      <c r="L374" s="12">
        <f>1065.1+1905.4-293.9-9.5</f>
        <v>2667.1</v>
      </c>
      <c r="M374" s="12">
        <f t="shared" si="46"/>
        <v>100</v>
      </c>
      <c r="N374" s="9"/>
    </row>
    <row r="375" spans="1:14" s="28" customFormat="1" x14ac:dyDescent="0.2">
      <c r="A375" s="82"/>
      <c r="B375" s="19" t="s">
        <v>15</v>
      </c>
      <c r="C375" s="63">
        <v>918</v>
      </c>
      <c r="D375" s="8" t="s">
        <v>6</v>
      </c>
      <c r="E375" s="40" t="s">
        <v>557</v>
      </c>
      <c r="F375" s="5" t="s">
        <v>557</v>
      </c>
      <c r="G375" s="40" t="s">
        <v>557</v>
      </c>
      <c r="H375" s="5" t="s">
        <v>557</v>
      </c>
      <c r="I375" s="5" t="s">
        <v>557</v>
      </c>
      <c r="J375" s="40" t="s">
        <v>557</v>
      </c>
      <c r="K375" s="12">
        <f t="shared" ref="K375:L375" si="52">SUM(K376)</f>
        <v>12461.5</v>
      </c>
      <c r="L375" s="12">
        <f t="shared" si="52"/>
        <v>12254.8</v>
      </c>
      <c r="M375" s="12">
        <f t="shared" si="46"/>
        <v>98.341291176824626</v>
      </c>
      <c r="N375" s="9"/>
    </row>
    <row r="376" spans="1:14" s="28" customFormat="1" ht="18.75" customHeight="1" x14ac:dyDescent="0.2">
      <c r="A376" s="82"/>
      <c r="B376" s="19" t="s">
        <v>87</v>
      </c>
      <c r="C376" s="63">
        <v>918</v>
      </c>
      <c r="D376" s="8" t="s">
        <v>6</v>
      </c>
      <c r="E376" s="8" t="s">
        <v>88</v>
      </c>
      <c r="F376" s="5" t="s">
        <v>557</v>
      </c>
      <c r="G376" s="40" t="s">
        <v>557</v>
      </c>
      <c r="H376" s="5" t="s">
        <v>557</v>
      </c>
      <c r="I376" s="5" t="s">
        <v>557</v>
      </c>
      <c r="J376" s="40" t="s">
        <v>557</v>
      </c>
      <c r="K376" s="12">
        <f>SUM(K377)</f>
        <v>12461.5</v>
      </c>
      <c r="L376" s="12">
        <f>SUM(L377)</f>
        <v>12254.8</v>
      </c>
      <c r="M376" s="12">
        <f t="shared" si="46"/>
        <v>98.341291176824626</v>
      </c>
      <c r="N376" s="9"/>
    </row>
    <row r="377" spans="1:14" s="28" customFormat="1" ht="31.5" x14ac:dyDescent="0.2">
      <c r="A377" s="82"/>
      <c r="B377" s="19" t="s">
        <v>251</v>
      </c>
      <c r="C377" s="63">
        <v>918</v>
      </c>
      <c r="D377" s="8" t="s">
        <v>6</v>
      </c>
      <c r="E377" s="8" t="s">
        <v>88</v>
      </c>
      <c r="F377" s="8" t="s">
        <v>4</v>
      </c>
      <c r="G377" s="40" t="s">
        <v>557</v>
      </c>
      <c r="H377" s="5" t="s">
        <v>557</v>
      </c>
      <c r="I377" s="5" t="s">
        <v>557</v>
      </c>
      <c r="J377" s="40" t="s">
        <v>557</v>
      </c>
      <c r="K377" s="12">
        <f>SUM(K378)</f>
        <v>12461.5</v>
      </c>
      <c r="L377" s="12">
        <f>SUM(L378)</f>
        <v>12254.8</v>
      </c>
      <c r="M377" s="12">
        <f t="shared" si="46"/>
        <v>98.341291176824626</v>
      </c>
      <c r="N377" s="9"/>
    </row>
    <row r="378" spans="1:14" s="28" customFormat="1" ht="31.5" x14ac:dyDescent="0.2">
      <c r="A378" s="82"/>
      <c r="B378" s="19" t="s">
        <v>136</v>
      </c>
      <c r="C378" s="63">
        <v>918</v>
      </c>
      <c r="D378" s="8" t="s">
        <v>6</v>
      </c>
      <c r="E378" s="8" t="s">
        <v>88</v>
      </c>
      <c r="F378" s="8" t="s">
        <v>4</v>
      </c>
      <c r="G378" s="63">
        <v>1</v>
      </c>
      <c r="H378" s="5" t="s">
        <v>557</v>
      </c>
      <c r="I378" s="5" t="s">
        <v>557</v>
      </c>
      <c r="J378" s="40" t="s">
        <v>557</v>
      </c>
      <c r="K378" s="12">
        <f>SUM(K379+K386)</f>
        <v>12461.5</v>
      </c>
      <c r="L378" s="12">
        <f>SUM(L379+L386)</f>
        <v>12254.8</v>
      </c>
      <c r="M378" s="12">
        <f t="shared" si="46"/>
        <v>98.341291176824626</v>
      </c>
      <c r="N378" s="9"/>
    </row>
    <row r="379" spans="1:14" s="28" customFormat="1" ht="78.75" x14ac:dyDescent="0.2">
      <c r="A379" s="82"/>
      <c r="B379" s="41" t="s">
        <v>137</v>
      </c>
      <c r="C379" s="63">
        <v>918</v>
      </c>
      <c r="D379" s="8" t="s">
        <v>6</v>
      </c>
      <c r="E379" s="8" t="s">
        <v>88</v>
      </c>
      <c r="F379" s="8" t="s">
        <v>4</v>
      </c>
      <c r="G379" s="63">
        <v>1</v>
      </c>
      <c r="H379" s="8" t="s">
        <v>2</v>
      </c>
      <c r="I379" s="5" t="s">
        <v>557</v>
      </c>
      <c r="J379" s="40" t="s">
        <v>557</v>
      </c>
      <c r="K379" s="12">
        <f>SUM(K380+K384)</f>
        <v>6752.5</v>
      </c>
      <c r="L379" s="12">
        <f>SUM(L380+L384)</f>
        <v>6565.5</v>
      </c>
      <c r="M379" s="12">
        <f t="shared" si="46"/>
        <v>97.230655312847091</v>
      </c>
      <c r="N379" s="9"/>
    </row>
    <row r="380" spans="1:14" s="28" customFormat="1" ht="64.5" customHeight="1" x14ac:dyDescent="0.2">
      <c r="A380" s="82"/>
      <c r="B380" s="19" t="s">
        <v>84</v>
      </c>
      <c r="C380" s="63">
        <v>918</v>
      </c>
      <c r="D380" s="8" t="s">
        <v>6</v>
      </c>
      <c r="E380" s="8" t="s">
        <v>88</v>
      </c>
      <c r="F380" s="8" t="s">
        <v>4</v>
      </c>
      <c r="G380" s="63">
        <v>1</v>
      </c>
      <c r="H380" s="8" t="s">
        <v>2</v>
      </c>
      <c r="I380" s="8" t="s">
        <v>111</v>
      </c>
      <c r="J380" s="40" t="s">
        <v>557</v>
      </c>
      <c r="K380" s="12">
        <f>SUM(K381:K383)</f>
        <v>4401.3</v>
      </c>
      <c r="L380" s="12">
        <f>SUM(L381:L383)</f>
        <v>4214.3</v>
      </c>
      <c r="M380" s="12">
        <f t="shared" si="46"/>
        <v>95.751255310930858</v>
      </c>
      <c r="N380" s="9"/>
    </row>
    <row r="381" spans="1:14" s="28" customFormat="1" ht="48" customHeight="1" x14ac:dyDescent="0.2">
      <c r="A381" s="82"/>
      <c r="B381" s="19" t="s">
        <v>54</v>
      </c>
      <c r="C381" s="63">
        <v>918</v>
      </c>
      <c r="D381" s="8" t="s">
        <v>6</v>
      </c>
      <c r="E381" s="8" t="s">
        <v>88</v>
      </c>
      <c r="F381" s="8" t="s">
        <v>4</v>
      </c>
      <c r="G381" s="63">
        <v>1</v>
      </c>
      <c r="H381" s="8" t="s">
        <v>2</v>
      </c>
      <c r="I381" s="8" t="s">
        <v>111</v>
      </c>
      <c r="J381" s="8" t="s">
        <v>55</v>
      </c>
      <c r="K381" s="12">
        <f>3764.7+503.3-283.7</f>
        <v>3984.3</v>
      </c>
      <c r="L381" s="12">
        <v>3975.7</v>
      </c>
      <c r="M381" s="12">
        <f t="shared" si="46"/>
        <v>99.784152799738962</v>
      </c>
      <c r="N381" s="9"/>
    </row>
    <row r="382" spans="1:14" s="28" customFormat="1" ht="31.5" x14ac:dyDescent="0.2">
      <c r="A382" s="82"/>
      <c r="B382" s="19" t="s">
        <v>164</v>
      </c>
      <c r="C382" s="63">
        <v>918</v>
      </c>
      <c r="D382" s="8" t="s">
        <v>6</v>
      </c>
      <c r="E382" s="8" t="s">
        <v>88</v>
      </c>
      <c r="F382" s="8" t="s">
        <v>4</v>
      </c>
      <c r="G382" s="63">
        <v>1</v>
      </c>
      <c r="H382" s="8" t="s">
        <v>2</v>
      </c>
      <c r="I382" s="8" t="s">
        <v>111</v>
      </c>
      <c r="J382" s="8" t="s">
        <v>57</v>
      </c>
      <c r="K382" s="12">
        <f>234.4+0.6</f>
        <v>235</v>
      </c>
      <c r="L382" s="12">
        <v>217.3</v>
      </c>
      <c r="M382" s="12">
        <f t="shared" si="46"/>
        <v>92.468085106382986</v>
      </c>
      <c r="N382" s="9"/>
    </row>
    <row r="383" spans="1:14" s="28" customFormat="1" x14ac:dyDescent="0.2">
      <c r="A383" s="82"/>
      <c r="B383" s="19" t="s">
        <v>59</v>
      </c>
      <c r="C383" s="63">
        <v>918</v>
      </c>
      <c r="D383" s="8" t="s">
        <v>6</v>
      </c>
      <c r="E383" s="8" t="s">
        <v>88</v>
      </c>
      <c r="F383" s="8" t="s">
        <v>4</v>
      </c>
      <c r="G383" s="63">
        <v>1</v>
      </c>
      <c r="H383" s="8" t="s">
        <v>2</v>
      </c>
      <c r="I383" s="8" t="s">
        <v>111</v>
      </c>
      <c r="J383" s="8" t="s">
        <v>60</v>
      </c>
      <c r="K383" s="12">
        <v>182</v>
      </c>
      <c r="L383" s="12">
        <v>21.3</v>
      </c>
      <c r="M383" s="12">
        <f t="shared" si="46"/>
        <v>11.703296703296703</v>
      </c>
      <c r="N383" s="9"/>
    </row>
    <row r="384" spans="1:14" s="28" customFormat="1" ht="47.25" x14ac:dyDescent="0.2">
      <c r="A384" s="82"/>
      <c r="B384" s="41" t="s">
        <v>351</v>
      </c>
      <c r="C384" s="63">
        <v>918</v>
      </c>
      <c r="D384" s="8" t="s">
        <v>6</v>
      </c>
      <c r="E384" s="8" t="s">
        <v>88</v>
      </c>
      <c r="F384" s="8" t="s">
        <v>4</v>
      </c>
      <c r="G384" s="8" t="s">
        <v>116</v>
      </c>
      <c r="H384" s="8" t="s">
        <v>2</v>
      </c>
      <c r="I384" s="8" t="s">
        <v>313</v>
      </c>
      <c r="J384" s="40" t="s">
        <v>557</v>
      </c>
      <c r="K384" s="12">
        <f>K385</f>
        <v>2351.1999999999998</v>
      </c>
      <c r="L384" s="12">
        <f>L385</f>
        <v>2351.1999999999998</v>
      </c>
      <c r="M384" s="12">
        <f t="shared" si="46"/>
        <v>100</v>
      </c>
      <c r="N384" s="9"/>
    </row>
    <row r="385" spans="1:14" s="28" customFormat="1" ht="31.5" x14ac:dyDescent="0.2">
      <c r="A385" s="82"/>
      <c r="B385" s="41" t="s">
        <v>164</v>
      </c>
      <c r="C385" s="63">
        <v>918</v>
      </c>
      <c r="D385" s="8" t="s">
        <v>6</v>
      </c>
      <c r="E385" s="8" t="s">
        <v>88</v>
      </c>
      <c r="F385" s="8" t="s">
        <v>4</v>
      </c>
      <c r="G385" s="8" t="s">
        <v>116</v>
      </c>
      <c r="H385" s="8" t="s">
        <v>2</v>
      </c>
      <c r="I385" s="8" t="s">
        <v>313</v>
      </c>
      <c r="J385" s="61" t="s">
        <v>57</v>
      </c>
      <c r="K385" s="12">
        <f>685.1+1500+156+475.2-685.1+220</f>
        <v>2351.1999999999998</v>
      </c>
      <c r="L385" s="12">
        <f>685.1+1500+156+475.2-685.1+220</f>
        <v>2351.1999999999998</v>
      </c>
      <c r="M385" s="12">
        <f t="shared" si="46"/>
        <v>100</v>
      </c>
      <c r="N385" s="9"/>
    </row>
    <row r="386" spans="1:14" s="28" customFormat="1" ht="51" customHeight="1" x14ac:dyDescent="0.2">
      <c r="A386" s="82"/>
      <c r="B386" s="19" t="s">
        <v>282</v>
      </c>
      <c r="C386" s="63">
        <v>918</v>
      </c>
      <c r="D386" s="8" t="s">
        <v>6</v>
      </c>
      <c r="E386" s="8" t="s">
        <v>88</v>
      </c>
      <c r="F386" s="8" t="s">
        <v>4</v>
      </c>
      <c r="G386" s="63">
        <v>1</v>
      </c>
      <c r="H386" s="8" t="s">
        <v>4</v>
      </c>
      <c r="I386" s="5" t="s">
        <v>557</v>
      </c>
      <c r="J386" s="40" t="s">
        <v>557</v>
      </c>
      <c r="K386" s="12">
        <f>SUM(K387+K391)</f>
        <v>5709.0000000000009</v>
      </c>
      <c r="L386" s="12">
        <f>SUM(L387+L391)</f>
        <v>5689.3</v>
      </c>
      <c r="M386" s="12">
        <f t="shared" si="46"/>
        <v>99.65493081100017</v>
      </c>
      <c r="N386" s="9"/>
    </row>
    <row r="387" spans="1:14" s="28" customFormat="1" ht="31.5" x14ac:dyDescent="0.2">
      <c r="A387" s="82"/>
      <c r="B387" s="19" t="s">
        <v>53</v>
      </c>
      <c r="C387" s="63">
        <v>918</v>
      </c>
      <c r="D387" s="8" t="s">
        <v>6</v>
      </c>
      <c r="E387" s="8" t="s">
        <v>88</v>
      </c>
      <c r="F387" s="8" t="s">
        <v>4</v>
      </c>
      <c r="G387" s="63">
        <v>1</v>
      </c>
      <c r="H387" s="8" t="s">
        <v>4</v>
      </c>
      <c r="I387" s="8" t="s">
        <v>99</v>
      </c>
      <c r="J387" s="40" t="s">
        <v>557</v>
      </c>
      <c r="K387" s="12">
        <f>SUM(K388:K390)</f>
        <v>5686.2000000000007</v>
      </c>
      <c r="L387" s="12">
        <f>SUM(L388:L390)</f>
        <v>5671</v>
      </c>
      <c r="M387" s="12">
        <f t="shared" si="46"/>
        <v>99.732686152439229</v>
      </c>
      <c r="N387" s="9"/>
    </row>
    <row r="388" spans="1:14" s="28" customFormat="1" ht="48" customHeight="1" x14ac:dyDescent="0.2">
      <c r="A388" s="82"/>
      <c r="B388" s="19" t="s">
        <v>54</v>
      </c>
      <c r="C388" s="63">
        <v>918</v>
      </c>
      <c r="D388" s="8" t="s">
        <v>6</v>
      </c>
      <c r="E388" s="8" t="s">
        <v>88</v>
      </c>
      <c r="F388" s="8" t="s">
        <v>4</v>
      </c>
      <c r="G388" s="63">
        <v>1</v>
      </c>
      <c r="H388" s="8" t="s">
        <v>4</v>
      </c>
      <c r="I388" s="8" t="s">
        <v>99</v>
      </c>
      <c r="J388" s="8" t="s">
        <v>55</v>
      </c>
      <c r="K388" s="12">
        <f>5082.5+870.2-333.5+0.1</f>
        <v>5619.3</v>
      </c>
      <c r="L388" s="12">
        <v>5612.8</v>
      </c>
      <c r="M388" s="12">
        <f t="shared" si="46"/>
        <v>99.8843272293702</v>
      </c>
      <c r="N388" s="9"/>
    </row>
    <row r="389" spans="1:14" s="28" customFormat="1" ht="31.5" x14ac:dyDescent="0.2">
      <c r="A389" s="82"/>
      <c r="B389" s="19" t="s">
        <v>164</v>
      </c>
      <c r="C389" s="63">
        <v>918</v>
      </c>
      <c r="D389" s="8" t="s">
        <v>6</v>
      </c>
      <c r="E389" s="8" t="s">
        <v>88</v>
      </c>
      <c r="F389" s="8" t="s">
        <v>4</v>
      </c>
      <c r="G389" s="63">
        <v>1</v>
      </c>
      <c r="H389" s="8" t="s">
        <v>4</v>
      </c>
      <c r="I389" s="8" t="s">
        <v>99</v>
      </c>
      <c r="J389" s="8" t="s">
        <v>57</v>
      </c>
      <c r="K389" s="12">
        <f>62.7+2.1</f>
        <v>64.8</v>
      </c>
      <c r="L389" s="12">
        <v>58.2</v>
      </c>
      <c r="M389" s="12">
        <f t="shared" si="46"/>
        <v>89.814814814814824</v>
      </c>
      <c r="N389" s="9"/>
    </row>
    <row r="390" spans="1:14" s="28" customFormat="1" x14ac:dyDescent="0.2">
      <c r="A390" s="82"/>
      <c r="B390" s="19" t="s">
        <v>59</v>
      </c>
      <c r="C390" s="63">
        <v>918</v>
      </c>
      <c r="D390" s="8" t="s">
        <v>6</v>
      </c>
      <c r="E390" s="8" t="s">
        <v>88</v>
      </c>
      <c r="F390" s="8" t="s">
        <v>4</v>
      </c>
      <c r="G390" s="63">
        <v>1</v>
      </c>
      <c r="H390" s="8" t="s">
        <v>4</v>
      </c>
      <c r="I390" s="8" t="s">
        <v>99</v>
      </c>
      <c r="J390" s="8" t="s">
        <v>60</v>
      </c>
      <c r="K390" s="12">
        <v>2.1</v>
      </c>
      <c r="L390" s="12">
        <v>0</v>
      </c>
      <c r="M390" s="12">
        <f t="shared" si="46"/>
        <v>0</v>
      </c>
      <c r="N390" s="9"/>
    </row>
    <row r="391" spans="1:14" s="28" customFormat="1" ht="31.5" x14ac:dyDescent="0.2">
      <c r="A391" s="82"/>
      <c r="B391" s="19" t="s">
        <v>374</v>
      </c>
      <c r="C391" s="62">
        <v>918</v>
      </c>
      <c r="D391" s="8" t="s">
        <v>6</v>
      </c>
      <c r="E391" s="8" t="s">
        <v>88</v>
      </c>
      <c r="F391" s="8" t="s">
        <v>4</v>
      </c>
      <c r="G391" s="63">
        <v>1</v>
      </c>
      <c r="H391" s="8" t="s">
        <v>4</v>
      </c>
      <c r="I391" s="8" t="s">
        <v>373</v>
      </c>
      <c r="J391" s="40" t="s">
        <v>557</v>
      </c>
      <c r="K391" s="12">
        <f>SUM(K392)</f>
        <v>22.8</v>
      </c>
      <c r="L391" s="12">
        <f>SUM(L392)</f>
        <v>18.3</v>
      </c>
      <c r="M391" s="12">
        <f t="shared" si="46"/>
        <v>80.26315789473685</v>
      </c>
      <c r="N391" s="9"/>
    </row>
    <row r="392" spans="1:14" s="28" customFormat="1" ht="31.5" x14ac:dyDescent="0.2">
      <c r="A392" s="82"/>
      <c r="B392" s="19" t="s">
        <v>164</v>
      </c>
      <c r="C392" s="62">
        <v>918</v>
      </c>
      <c r="D392" s="8" t="s">
        <v>6</v>
      </c>
      <c r="E392" s="8" t="s">
        <v>88</v>
      </c>
      <c r="F392" s="8" t="s">
        <v>4</v>
      </c>
      <c r="G392" s="63">
        <v>1</v>
      </c>
      <c r="H392" s="8" t="s">
        <v>4</v>
      </c>
      <c r="I392" s="8" t="s">
        <v>373</v>
      </c>
      <c r="J392" s="8" t="s">
        <v>57</v>
      </c>
      <c r="K392" s="12">
        <v>22.8</v>
      </c>
      <c r="L392" s="12">
        <v>18.3</v>
      </c>
      <c r="M392" s="12">
        <f t="shared" ref="M392:M454" si="53">SUM(L392/K392*100)</f>
        <v>80.26315789473685</v>
      </c>
      <c r="N392" s="9"/>
    </row>
    <row r="393" spans="1:14" s="28" customFormat="1" x14ac:dyDescent="0.2">
      <c r="A393" s="82"/>
      <c r="B393" s="19" t="s">
        <v>18</v>
      </c>
      <c r="C393" s="63">
        <v>918</v>
      </c>
      <c r="D393" s="61" t="s">
        <v>8</v>
      </c>
      <c r="E393" s="40" t="s">
        <v>557</v>
      </c>
      <c r="F393" s="5" t="s">
        <v>557</v>
      </c>
      <c r="G393" s="40" t="s">
        <v>557</v>
      </c>
      <c r="H393" s="5" t="s">
        <v>557</v>
      </c>
      <c r="I393" s="5" t="s">
        <v>557</v>
      </c>
      <c r="J393" s="40" t="s">
        <v>557</v>
      </c>
      <c r="K393" s="12">
        <f>K394+K408+K402</f>
        <v>147264.49999999994</v>
      </c>
      <c r="L393" s="12">
        <f>L394+L408+L402</f>
        <v>124730.29999999999</v>
      </c>
      <c r="M393" s="12">
        <f t="shared" si="53"/>
        <v>84.69814517415945</v>
      </c>
      <c r="N393" s="9"/>
    </row>
    <row r="394" spans="1:14" s="28" customFormat="1" x14ac:dyDescent="0.2">
      <c r="A394" s="82"/>
      <c r="B394" s="19" t="s">
        <v>25</v>
      </c>
      <c r="C394" s="63">
        <v>918</v>
      </c>
      <c r="D394" s="61" t="s">
        <v>8</v>
      </c>
      <c r="E394" s="8" t="s">
        <v>2</v>
      </c>
      <c r="F394" s="5" t="s">
        <v>557</v>
      </c>
      <c r="G394" s="40" t="s">
        <v>557</v>
      </c>
      <c r="H394" s="5" t="s">
        <v>557</v>
      </c>
      <c r="I394" s="5" t="s">
        <v>557</v>
      </c>
      <c r="J394" s="40" t="s">
        <v>557</v>
      </c>
      <c r="K394" s="12">
        <f t="shared" ref="K394:L396" si="54">K395</f>
        <v>111850.69999999994</v>
      </c>
      <c r="L394" s="12">
        <f t="shared" si="54"/>
        <v>103141.09999999999</v>
      </c>
      <c r="M394" s="12">
        <f t="shared" si="53"/>
        <v>92.213191334520076</v>
      </c>
      <c r="N394" s="9"/>
    </row>
    <row r="395" spans="1:14" s="28" customFormat="1" ht="31.5" x14ac:dyDescent="0.2">
      <c r="A395" s="82"/>
      <c r="B395" s="41" t="s">
        <v>314</v>
      </c>
      <c r="C395" s="63">
        <v>918</v>
      </c>
      <c r="D395" s="61" t="s">
        <v>8</v>
      </c>
      <c r="E395" s="8" t="s">
        <v>2</v>
      </c>
      <c r="F395" s="8" t="s">
        <v>4</v>
      </c>
      <c r="G395" s="40" t="s">
        <v>557</v>
      </c>
      <c r="H395" s="5" t="s">
        <v>557</v>
      </c>
      <c r="I395" s="5" t="s">
        <v>557</v>
      </c>
      <c r="J395" s="40" t="s">
        <v>557</v>
      </c>
      <c r="K395" s="12">
        <f t="shared" si="54"/>
        <v>111850.69999999994</v>
      </c>
      <c r="L395" s="12">
        <f t="shared" si="54"/>
        <v>103141.09999999999</v>
      </c>
      <c r="M395" s="12">
        <f t="shared" si="53"/>
        <v>92.213191334520076</v>
      </c>
      <c r="N395" s="9"/>
    </row>
    <row r="396" spans="1:14" s="28" customFormat="1" ht="31.5" x14ac:dyDescent="0.2">
      <c r="A396" s="82"/>
      <c r="B396" s="41" t="s">
        <v>136</v>
      </c>
      <c r="C396" s="63">
        <v>918</v>
      </c>
      <c r="D396" s="61" t="s">
        <v>8</v>
      </c>
      <c r="E396" s="8" t="s">
        <v>2</v>
      </c>
      <c r="F396" s="8" t="s">
        <v>4</v>
      </c>
      <c r="G396" s="8" t="s">
        <v>116</v>
      </c>
      <c r="H396" s="5" t="s">
        <v>557</v>
      </c>
      <c r="I396" s="5" t="s">
        <v>557</v>
      </c>
      <c r="J396" s="40" t="s">
        <v>557</v>
      </c>
      <c r="K396" s="12">
        <f t="shared" si="54"/>
        <v>111850.69999999994</v>
      </c>
      <c r="L396" s="12">
        <f t="shared" si="54"/>
        <v>103141.09999999999</v>
      </c>
      <c r="M396" s="12">
        <f t="shared" si="53"/>
        <v>92.213191334520076</v>
      </c>
      <c r="N396" s="9"/>
    </row>
    <row r="397" spans="1:14" s="28" customFormat="1" ht="78.75" x14ac:dyDescent="0.2">
      <c r="A397" s="82"/>
      <c r="B397" s="41" t="s">
        <v>137</v>
      </c>
      <c r="C397" s="63">
        <v>918</v>
      </c>
      <c r="D397" s="61" t="s">
        <v>8</v>
      </c>
      <c r="E397" s="8" t="s">
        <v>2</v>
      </c>
      <c r="F397" s="8" t="s">
        <v>4</v>
      </c>
      <c r="G397" s="8" t="s">
        <v>116</v>
      </c>
      <c r="H397" s="8" t="s">
        <v>2</v>
      </c>
      <c r="I397" s="5" t="s">
        <v>557</v>
      </c>
      <c r="J397" s="40" t="s">
        <v>557</v>
      </c>
      <c r="K397" s="12">
        <f>K398+K400</f>
        <v>111850.69999999994</v>
      </c>
      <c r="L397" s="12">
        <f>L398+L400</f>
        <v>103141.09999999999</v>
      </c>
      <c r="M397" s="12">
        <f t="shared" si="53"/>
        <v>92.213191334520076</v>
      </c>
      <c r="N397" s="9"/>
    </row>
    <row r="398" spans="1:14" s="28" customFormat="1" ht="127.5" customHeight="1" x14ac:dyDescent="0.2">
      <c r="A398" s="82"/>
      <c r="B398" s="41" t="s">
        <v>512</v>
      </c>
      <c r="C398" s="63">
        <v>918</v>
      </c>
      <c r="D398" s="61" t="s">
        <v>8</v>
      </c>
      <c r="E398" s="8" t="s">
        <v>2</v>
      </c>
      <c r="F398" s="8" t="s">
        <v>4</v>
      </c>
      <c r="G398" s="8" t="s">
        <v>116</v>
      </c>
      <c r="H398" s="8" t="s">
        <v>2</v>
      </c>
      <c r="I398" s="8" t="s">
        <v>481</v>
      </c>
      <c r="J398" s="40" t="s">
        <v>557</v>
      </c>
      <c r="K398" s="12">
        <f>K399</f>
        <v>7584.3</v>
      </c>
      <c r="L398" s="12">
        <f>L399</f>
        <v>341.9</v>
      </c>
      <c r="M398" s="12">
        <f t="shared" si="53"/>
        <v>4.507996782827683</v>
      </c>
      <c r="N398" s="9"/>
    </row>
    <row r="399" spans="1:14" s="28" customFormat="1" ht="33" customHeight="1" x14ac:dyDescent="0.2">
      <c r="A399" s="82"/>
      <c r="B399" s="41" t="s">
        <v>95</v>
      </c>
      <c r="C399" s="63">
        <v>918</v>
      </c>
      <c r="D399" s="61" t="s">
        <v>8</v>
      </c>
      <c r="E399" s="8" t="s">
        <v>2</v>
      </c>
      <c r="F399" s="8" t="s">
        <v>4</v>
      </c>
      <c r="G399" s="8" t="s">
        <v>116</v>
      </c>
      <c r="H399" s="8" t="s">
        <v>2</v>
      </c>
      <c r="I399" s="8" t="s">
        <v>481</v>
      </c>
      <c r="J399" s="61" t="s">
        <v>64</v>
      </c>
      <c r="K399" s="12">
        <v>7584.3</v>
      </c>
      <c r="L399" s="12">
        <v>341.9</v>
      </c>
      <c r="M399" s="12">
        <f t="shared" si="53"/>
        <v>4.507996782827683</v>
      </c>
      <c r="N399" s="9"/>
    </row>
    <row r="400" spans="1:14" s="28" customFormat="1" ht="127.5" customHeight="1" x14ac:dyDescent="0.2">
      <c r="A400" s="82"/>
      <c r="B400" s="41" t="s">
        <v>513</v>
      </c>
      <c r="C400" s="63">
        <v>918</v>
      </c>
      <c r="D400" s="61" t="s">
        <v>8</v>
      </c>
      <c r="E400" s="8" t="s">
        <v>2</v>
      </c>
      <c r="F400" s="8" t="s">
        <v>4</v>
      </c>
      <c r="G400" s="8" t="s">
        <v>116</v>
      </c>
      <c r="H400" s="8" t="s">
        <v>2</v>
      </c>
      <c r="I400" s="8" t="s">
        <v>354</v>
      </c>
      <c r="J400" s="40" t="s">
        <v>557</v>
      </c>
      <c r="K400" s="12">
        <f>K401</f>
        <v>104266.39999999994</v>
      </c>
      <c r="L400" s="12">
        <f>L401</f>
        <v>102799.2</v>
      </c>
      <c r="M400" s="12">
        <f t="shared" si="53"/>
        <v>98.592835275793604</v>
      </c>
      <c r="N400" s="9"/>
    </row>
    <row r="401" spans="1:14" s="28" customFormat="1" ht="31.5" customHeight="1" x14ac:dyDescent="0.2">
      <c r="A401" s="82"/>
      <c r="B401" s="41" t="s">
        <v>95</v>
      </c>
      <c r="C401" s="63">
        <v>918</v>
      </c>
      <c r="D401" s="61" t="s">
        <v>8</v>
      </c>
      <c r="E401" s="8" t="s">
        <v>2</v>
      </c>
      <c r="F401" s="8" t="s">
        <v>4</v>
      </c>
      <c r="G401" s="8" t="s">
        <v>116</v>
      </c>
      <c r="H401" s="8" t="s">
        <v>2</v>
      </c>
      <c r="I401" s="8" t="s">
        <v>354</v>
      </c>
      <c r="J401" s="61" t="s">
        <v>64</v>
      </c>
      <c r="K401" s="12">
        <f>21224.6+332516.6-234506.2-14968.6</f>
        <v>104266.39999999994</v>
      </c>
      <c r="L401" s="12">
        <v>102799.2</v>
      </c>
      <c r="M401" s="12">
        <f t="shared" si="53"/>
        <v>98.592835275793604</v>
      </c>
      <c r="N401" s="9"/>
    </row>
    <row r="402" spans="1:14" s="28" customFormat="1" x14ac:dyDescent="0.2">
      <c r="A402" s="82"/>
      <c r="B402" s="19" t="s">
        <v>26</v>
      </c>
      <c r="C402" s="63">
        <v>918</v>
      </c>
      <c r="D402" s="61" t="s">
        <v>8</v>
      </c>
      <c r="E402" s="61" t="s">
        <v>4</v>
      </c>
      <c r="F402" s="5" t="s">
        <v>557</v>
      </c>
      <c r="G402" s="40" t="s">
        <v>557</v>
      </c>
      <c r="H402" s="5" t="s">
        <v>557</v>
      </c>
      <c r="I402" s="5" t="s">
        <v>557</v>
      </c>
      <c r="J402" s="40" t="s">
        <v>557</v>
      </c>
      <c r="K402" s="12">
        <f t="shared" ref="K402:L406" si="55">K403</f>
        <v>35397.1</v>
      </c>
      <c r="L402" s="12">
        <f t="shared" si="55"/>
        <v>21583.7</v>
      </c>
      <c r="M402" s="12">
        <f t="shared" si="53"/>
        <v>60.975899155580549</v>
      </c>
      <c r="N402" s="9"/>
    </row>
    <row r="403" spans="1:14" s="28" customFormat="1" ht="31.5" x14ac:dyDescent="0.2">
      <c r="A403" s="82"/>
      <c r="B403" s="41" t="s">
        <v>314</v>
      </c>
      <c r="C403" s="63">
        <v>918</v>
      </c>
      <c r="D403" s="61" t="s">
        <v>8</v>
      </c>
      <c r="E403" s="61" t="s">
        <v>4</v>
      </c>
      <c r="F403" s="8" t="s">
        <v>4</v>
      </c>
      <c r="G403" s="40" t="s">
        <v>557</v>
      </c>
      <c r="H403" s="5" t="s">
        <v>557</v>
      </c>
      <c r="I403" s="5" t="s">
        <v>557</v>
      </c>
      <c r="J403" s="40" t="s">
        <v>557</v>
      </c>
      <c r="K403" s="12">
        <f t="shared" si="55"/>
        <v>35397.1</v>
      </c>
      <c r="L403" s="12">
        <f t="shared" si="55"/>
        <v>21583.7</v>
      </c>
      <c r="M403" s="12">
        <f t="shared" si="53"/>
        <v>60.975899155580549</v>
      </c>
      <c r="N403" s="9"/>
    </row>
    <row r="404" spans="1:14" s="28" customFormat="1" ht="31.5" x14ac:dyDescent="0.2">
      <c r="A404" s="82"/>
      <c r="B404" s="41" t="s">
        <v>136</v>
      </c>
      <c r="C404" s="63">
        <v>918</v>
      </c>
      <c r="D404" s="61" t="s">
        <v>8</v>
      </c>
      <c r="E404" s="61" t="s">
        <v>4</v>
      </c>
      <c r="F404" s="8" t="s">
        <v>4</v>
      </c>
      <c r="G404" s="8" t="s">
        <v>116</v>
      </c>
      <c r="H404" s="5" t="s">
        <v>557</v>
      </c>
      <c r="I404" s="5" t="s">
        <v>557</v>
      </c>
      <c r="J404" s="40" t="s">
        <v>557</v>
      </c>
      <c r="K404" s="12">
        <f t="shared" si="55"/>
        <v>35397.1</v>
      </c>
      <c r="L404" s="12">
        <f t="shared" si="55"/>
        <v>21583.7</v>
      </c>
      <c r="M404" s="12">
        <f t="shared" si="53"/>
        <v>60.975899155580549</v>
      </c>
      <c r="N404" s="9"/>
    </row>
    <row r="405" spans="1:14" s="28" customFormat="1" ht="78.75" x14ac:dyDescent="0.2">
      <c r="A405" s="82"/>
      <c r="B405" s="41" t="s">
        <v>137</v>
      </c>
      <c r="C405" s="63">
        <v>918</v>
      </c>
      <c r="D405" s="61" t="s">
        <v>8</v>
      </c>
      <c r="E405" s="61" t="s">
        <v>4</v>
      </c>
      <c r="F405" s="8" t="s">
        <v>4</v>
      </c>
      <c r="G405" s="8" t="s">
        <v>116</v>
      </c>
      <c r="H405" s="8" t="s">
        <v>2</v>
      </c>
      <c r="I405" s="5" t="s">
        <v>557</v>
      </c>
      <c r="J405" s="40" t="s">
        <v>557</v>
      </c>
      <c r="K405" s="12">
        <f t="shared" si="55"/>
        <v>35397.1</v>
      </c>
      <c r="L405" s="12">
        <f t="shared" si="55"/>
        <v>21583.7</v>
      </c>
      <c r="M405" s="12">
        <f t="shared" si="53"/>
        <v>60.975899155580549</v>
      </c>
      <c r="N405" s="9"/>
    </row>
    <row r="406" spans="1:14" s="28" customFormat="1" ht="47.25" x14ac:dyDescent="0.2">
      <c r="A406" s="82"/>
      <c r="B406" s="41" t="s">
        <v>351</v>
      </c>
      <c r="C406" s="63">
        <v>918</v>
      </c>
      <c r="D406" s="61" t="s">
        <v>8</v>
      </c>
      <c r="E406" s="61" t="s">
        <v>4</v>
      </c>
      <c r="F406" s="8" t="s">
        <v>4</v>
      </c>
      <c r="G406" s="8" t="s">
        <v>116</v>
      </c>
      <c r="H406" s="8" t="s">
        <v>2</v>
      </c>
      <c r="I406" s="8" t="s">
        <v>313</v>
      </c>
      <c r="J406" s="40" t="s">
        <v>557</v>
      </c>
      <c r="K406" s="12">
        <f t="shared" si="55"/>
        <v>35397.1</v>
      </c>
      <c r="L406" s="12">
        <f t="shared" si="55"/>
        <v>21583.7</v>
      </c>
      <c r="M406" s="12">
        <f t="shared" si="53"/>
        <v>60.975899155580549</v>
      </c>
      <c r="N406" s="9"/>
    </row>
    <row r="407" spans="1:14" s="28" customFormat="1" ht="31.5" x14ac:dyDescent="0.2">
      <c r="A407" s="82"/>
      <c r="B407" s="19" t="s">
        <v>164</v>
      </c>
      <c r="C407" s="63">
        <v>918</v>
      </c>
      <c r="D407" s="61" t="s">
        <v>8</v>
      </c>
      <c r="E407" s="61" t="s">
        <v>4</v>
      </c>
      <c r="F407" s="8" t="s">
        <v>4</v>
      </c>
      <c r="G407" s="8" t="s">
        <v>116</v>
      </c>
      <c r="H407" s="8" t="s">
        <v>2</v>
      </c>
      <c r="I407" s="8" t="s">
        <v>313</v>
      </c>
      <c r="J407" s="61" t="s">
        <v>57</v>
      </c>
      <c r="K407" s="12">
        <f>17816.8+4663.5-685.1+426.3+685.1-0.1-1458.4+293.9+61.7-220+13813.4</f>
        <v>35397.1</v>
      </c>
      <c r="L407" s="12">
        <v>21583.7</v>
      </c>
      <c r="M407" s="12">
        <f t="shared" si="53"/>
        <v>60.975899155580549</v>
      </c>
      <c r="N407" s="9"/>
    </row>
    <row r="408" spans="1:14" s="28" customFormat="1" ht="31.5" x14ac:dyDescent="0.2">
      <c r="A408" s="82"/>
      <c r="B408" s="19" t="s">
        <v>375</v>
      </c>
      <c r="C408" s="62">
        <v>918</v>
      </c>
      <c r="D408" s="61" t="s">
        <v>8</v>
      </c>
      <c r="E408" s="61" t="s">
        <v>7</v>
      </c>
      <c r="F408" s="5" t="s">
        <v>557</v>
      </c>
      <c r="G408" s="40" t="s">
        <v>557</v>
      </c>
      <c r="H408" s="5" t="s">
        <v>557</v>
      </c>
      <c r="I408" s="5" t="s">
        <v>557</v>
      </c>
      <c r="J408" s="40" t="s">
        <v>557</v>
      </c>
      <c r="K408" s="12">
        <f t="shared" ref="K408:L412" si="56">SUM(K409)</f>
        <v>16.7</v>
      </c>
      <c r="L408" s="12">
        <f t="shared" si="56"/>
        <v>5.5</v>
      </c>
      <c r="M408" s="12">
        <f t="shared" si="53"/>
        <v>32.934131736526943</v>
      </c>
      <c r="N408" s="9"/>
    </row>
    <row r="409" spans="1:14" s="28" customFormat="1" ht="31.5" x14ac:dyDescent="0.2">
      <c r="A409" s="82"/>
      <c r="B409" s="19" t="s">
        <v>251</v>
      </c>
      <c r="C409" s="62">
        <v>918</v>
      </c>
      <c r="D409" s="61" t="s">
        <v>8</v>
      </c>
      <c r="E409" s="61" t="s">
        <v>7</v>
      </c>
      <c r="F409" s="8" t="s">
        <v>4</v>
      </c>
      <c r="G409" s="40" t="s">
        <v>557</v>
      </c>
      <c r="H409" s="5" t="s">
        <v>557</v>
      </c>
      <c r="I409" s="5" t="s">
        <v>557</v>
      </c>
      <c r="J409" s="40" t="s">
        <v>557</v>
      </c>
      <c r="K409" s="12">
        <f t="shared" si="56"/>
        <v>16.7</v>
      </c>
      <c r="L409" s="12">
        <f t="shared" si="56"/>
        <v>5.5</v>
      </c>
      <c r="M409" s="12">
        <f t="shared" si="53"/>
        <v>32.934131736526943</v>
      </c>
      <c r="N409" s="9"/>
    </row>
    <row r="410" spans="1:14" s="28" customFormat="1" ht="31.5" x14ac:dyDescent="0.2">
      <c r="A410" s="82"/>
      <c r="B410" s="19" t="s">
        <v>136</v>
      </c>
      <c r="C410" s="62">
        <v>918</v>
      </c>
      <c r="D410" s="61" t="s">
        <v>8</v>
      </c>
      <c r="E410" s="61" t="s">
        <v>7</v>
      </c>
      <c r="F410" s="8" t="s">
        <v>4</v>
      </c>
      <c r="G410" s="8" t="s">
        <v>116</v>
      </c>
      <c r="H410" s="5" t="s">
        <v>557</v>
      </c>
      <c r="I410" s="5" t="s">
        <v>557</v>
      </c>
      <c r="J410" s="40" t="s">
        <v>557</v>
      </c>
      <c r="K410" s="12">
        <f t="shared" si="56"/>
        <v>16.7</v>
      </c>
      <c r="L410" s="12">
        <f t="shared" si="56"/>
        <v>5.5</v>
      </c>
      <c r="M410" s="12">
        <f t="shared" si="53"/>
        <v>32.934131736526943</v>
      </c>
      <c r="N410" s="9"/>
    </row>
    <row r="411" spans="1:14" s="28" customFormat="1" ht="48.75" customHeight="1" x14ac:dyDescent="0.2">
      <c r="A411" s="82"/>
      <c r="B411" s="19" t="s">
        <v>282</v>
      </c>
      <c r="C411" s="62">
        <v>918</v>
      </c>
      <c r="D411" s="61" t="s">
        <v>8</v>
      </c>
      <c r="E411" s="61" t="s">
        <v>7</v>
      </c>
      <c r="F411" s="8" t="s">
        <v>4</v>
      </c>
      <c r="G411" s="8" t="s">
        <v>116</v>
      </c>
      <c r="H411" s="8" t="s">
        <v>4</v>
      </c>
      <c r="I411" s="5" t="s">
        <v>557</v>
      </c>
      <c r="J411" s="40" t="s">
        <v>557</v>
      </c>
      <c r="K411" s="12">
        <f t="shared" si="56"/>
        <v>16.7</v>
      </c>
      <c r="L411" s="12">
        <f t="shared" si="56"/>
        <v>5.5</v>
      </c>
      <c r="M411" s="12">
        <f t="shared" si="53"/>
        <v>32.934131736526943</v>
      </c>
      <c r="N411" s="9"/>
    </row>
    <row r="412" spans="1:14" s="28" customFormat="1" ht="31.5" x14ac:dyDescent="0.2">
      <c r="A412" s="82"/>
      <c r="B412" s="19" t="s">
        <v>377</v>
      </c>
      <c r="C412" s="62">
        <v>918</v>
      </c>
      <c r="D412" s="61" t="s">
        <v>8</v>
      </c>
      <c r="E412" s="61" t="s">
        <v>7</v>
      </c>
      <c r="F412" s="8" t="s">
        <v>4</v>
      </c>
      <c r="G412" s="8" t="s">
        <v>116</v>
      </c>
      <c r="H412" s="8" t="s">
        <v>4</v>
      </c>
      <c r="I412" s="8" t="s">
        <v>376</v>
      </c>
      <c r="J412" s="40" t="s">
        <v>557</v>
      </c>
      <c r="K412" s="12">
        <f t="shared" si="56"/>
        <v>16.7</v>
      </c>
      <c r="L412" s="12">
        <f t="shared" si="56"/>
        <v>5.5</v>
      </c>
      <c r="M412" s="12">
        <f t="shared" si="53"/>
        <v>32.934131736526943</v>
      </c>
      <c r="N412" s="9"/>
    </row>
    <row r="413" spans="1:14" s="28" customFormat="1" ht="31.5" x14ac:dyDescent="0.2">
      <c r="A413" s="82"/>
      <c r="B413" s="19" t="s">
        <v>164</v>
      </c>
      <c r="C413" s="62">
        <v>918</v>
      </c>
      <c r="D413" s="61" t="s">
        <v>8</v>
      </c>
      <c r="E413" s="61" t="s">
        <v>7</v>
      </c>
      <c r="F413" s="8" t="s">
        <v>4</v>
      </c>
      <c r="G413" s="8" t="s">
        <v>116</v>
      </c>
      <c r="H413" s="8" t="s">
        <v>4</v>
      </c>
      <c r="I413" s="8" t="s">
        <v>376</v>
      </c>
      <c r="J413" s="61" t="s">
        <v>57</v>
      </c>
      <c r="K413" s="12">
        <v>16.7</v>
      </c>
      <c r="L413" s="12">
        <v>5.5</v>
      </c>
      <c r="M413" s="12">
        <f t="shared" si="53"/>
        <v>32.934131736526943</v>
      </c>
      <c r="N413" s="9"/>
    </row>
    <row r="414" spans="1:14" s="28" customFormat="1" x14ac:dyDescent="0.2">
      <c r="A414" s="33"/>
      <c r="B414" s="48" t="s">
        <v>75</v>
      </c>
      <c r="C414" s="63">
        <v>918</v>
      </c>
      <c r="D414" s="8" t="s">
        <v>23</v>
      </c>
      <c r="E414" s="40" t="s">
        <v>557</v>
      </c>
      <c r="F414" s="5" t="s">
        <v>557</v>
      </c>
      <c r="G414" s="40" t="s">
        <v>557</v>
      </c>
      <c r="H414" s="5" t="s">
        <v>557</v>
      </c>
      <c r="I414" s="5" t="s">
        <v>557</v>
      </c>
      <c r="J414" s="40" t="s">
        <v>557</v>
      </c>
      <c r="K414" s="12">
        <f>K415+K421</f>
        <v>179847.90000000002</v>
      </c>
      <c r="L414" s="12">
        <f>L415+L421</f>
        <v>144200.5</v>
      </c>
      <c r="M414" s="12">
        <f t="shared" si="53"/>
        <v>80.179140262410613</v>
      </c>
      <c r="N414" s="9"/>
    </row>
    <row r="415" spans="1:14" s="28" customFormat="1" x14ac:dyDescent="0.2">
      <c r="A415" s="33"/>
      <c r="B415" s="19" t="s">
        <v>451</v>
      </c>
      <c r="C415" s="63">
        <v>918</v>
      </c>
      <c r="D415" s="8" t="s">
        <v>23</v>
      </c>
      <c r="E415" s="8" t="s">
        <v>2</v>
      </c>
      <c r="F415" s="5" t="s">
        <v>557</v>
      </c>
      <c r="G415" s="40" t="s">
        <v>557</v>
      </c>
      <c r="H415" s="5" t="s">
        <v>557</v>
      </c>
      <c r="I415" s="5" t="s">
        <v>557</v>
      </c>
      <c r="J415" s="40" t="s">
        <v>557</v>
      </c>
      <c r="K415" s="12">
        <f t="shared" ref="K415:L419" si="57">K416</f>
        <v>39.1</v>
      </c>
      <c r="L415" s="12">
        <f t="shared" si="57"/>
        <v>0</v>
      </c>
      <c r="M415" s="12">
        <f t="shared" si="53"/>
        <v>0</v>
      </c>
      <c r="N415" s="9"/>
    </row>
    <row r="416" spans="1:14" s="28" customFormat="1" ht="31.5" x14ac:dyDescent="0.2">
      <c r="A416" s="33"/>
      <c r="B416" s="19" t="s">
        <v>251</v>
      </c>
      <c r="C416" s="63">
        <v>918</v>
      </c>
      <c r="D416" s="8" t="s">
        <v>23</v>
      </c>
      <c r="E416" s="8" t="s">
        <v>2</v>
      </c>
      <c r="F416" s="8" t="s">
        <v>4</v>
      </c>
      <c r="G416" s="40" t="s">
        <v>557</v>
      </c>
      <c r="H416" s="5" t="s">
        <v>557</v>
      </c>
      <c r="I416" s="5" t="s">
        <v>557</v>
      </c>
      <c r="J416" s="40" t="s">
        <v>557</v>
      </c>
      <c r="K416" s="12">
        <f t="shared" si="57"/>
        <v>39.1</v>
      </c>
      <c r="L416" s="12">
        <f t="shared" si="57"/>
        <v>0</v>
      </c>
      <c r="M416" s="12">
        <f t="shared" si="53"/>
        <v>0</v>
      </c>
      <c r="N416" s="9"/>
    </row>
    <row r="417" spans="1:14" s="28" customFormat="1" ht="31.5" x14ac:dyDescent="0.2">
      <c r="A417" s="33"/>
      <c r="B417" s="19" t="s">
        <v>136</v>
      </c>
      <c r="C417" s="63">
        <v>918</v>
      </c>
      <c r="D417" s="8" t="s">
        <v>23</v>
      </c>
      <c r="E417" s="8" t="s">
        <v>2</v>
      </c>
      <c r="F417" s="8" t="s">
        <v>4</v>
      </c>
      <c r="G417" s="63">
        <v>1</v>
      </c>
      <c r="H417" s="5" t="s">
        <v>557</v>
      </c>
      <c r="I417" s="5" t="s">
        <v>557</v>
      </c>
      <c r="J417" s="40" t="s">
        <v>557</v>
      </c>
      <c r="K417" s="12">
        <f t="shared" si="57"/>
        <v>39.1</v>
      </c>
      <c r="L417" s="12">
        <f t="shared" si="57"/>
        <v>0</v>
      </c>
      <c r="M417" s="12">
        <f t="shared" si="53"/>
        <v>0</v>
      </c>
      <c r="N417" s="9"/>
    </row>
    <row r="418" spans="1:14" s="28" customFormat="1" ht="78.75" x14ac:dyDescent="0.2">
      <c r="A418" s="33"/>
      <c r="B418" s="41" t="s">
        <v>137</v>
      </c>
      <c r="C418" s="63">
        <v>918</v>
      </c>
      <c r="D418" s="8" t="s">
        <v>23</v>
      </c>
      <c r="E418" s="8" t="s">
        <v>2</v>
      </c>
      <c r="F418" s="8" t="s">
        <v>4</v>
      </c>
      <c r="G418" s="63">
        <v>1</v>
      </c>
      <c r="H418" s="8" t="s">
        <v>2</v>
      </c>
      <c r="I418" s="5" t="s">
        <v>557</v>
      </c>
      <c r="J418" s="40" t="s">
        <v>557</v>
      </c>
      <c r="K418" s="12">
        <f t="shared" si="57"/>
        <v>39.1</v>
      </c>
      <c r="L418" s="12">
        <f t="shared" si="57"/>
        <v>0</v>
      </c>
      <c r="M418" s="12">
        <f t="shared" si="53"/>
        <v>0</v>
      </c>
      <c r="N418" s="9"/>
    </row>
    <row r="419" spans="1:14" s="28" customFormat="1" ht="47.25" x14ac:dyDescent="0.2">
      <c r="A419" s="33"/>
      <c r="B419" s="41" t="s">
        <v>452</v>
      </c>
      <c r="C419" s="63">
        <v>918</v>
      </c>
      <c r="D419" s="8" t="s">
        <v>23</v>
      </c>
      <c r="E419" s="8" t="s">
        <v>2</v>
      </c>
      <c r="F419" s="8" t="s">
        <v>4</v>
      </c>
      <c r="G419" s="63">
        <v>1</v>
      </c>
      <c r="H419" s="8" t="s">
        <v>2</v>
      </c>
      <c r="I419" s="8" t="s">
        <v>453</v>
      </c>
      <c r="J419" s="40" t="s">
        <v>557</v>
      </c>
      <c r="K419" s="12">
        <f t="shared" si="57"/>
        <v>39.1</v>
      </c>
      <c r="L419" s="12">
        <f t="shared" si="57"/>
        <v>0</v>
      </c>
      <c r="M419" s="12">
        <f t="shared" si="53"/>
        <v>0</v>
      </c>
      <c r="N419" s="9"/>
    </row>
    <row r="420" spans="1:14" s="28" customFormat="1" ht="33" customHeight="1" x14ac:dyDescent="0.2">
      <c r="A420" s="33"/>
      <c r="B420" s="19" t="s">
        <v>95</v>
      </c>
      <c r="C420" s="63">
        <v>918</v>
      </c>
      <c r="D420" s="8" t="s">
        <v>23</v>
      </c>
      <c r="E420" s="8" t="s">
        <v>2</v>
      </c>
      <c r="F420" s="8" t="s">
        <v>4</v>
      </c>
      <c r="G420" s="63">
        <v>1</v>
      </c>
      <c r="H420" s="8" t="s">
        <v>2</v>
      </c>
      <c r="I420" s="8" t="s">
        <v>453</v>
      </c>
      <c r="J420" s="61" t="s">
        <v>64</v>
      </c>
      <c r="K420" s="12">
        <v>39.1</v>
      </c>
      <c r="L420" s="12">
        <v>0</v>
      </c>
      <c r="M420" s="12">
        <f t="shared" si="53"/>
        <v>0</v>
      </c>
      <c r="N420" s="9"/>
    </row>
    <row r="421" spans="1:14" s="28" customFormat="1" x14ac:dyDescent="0.2">
      <c r="A421" s="33"/>
      <c r="B421" s="48" t="s">
        <v>418</v>
      </c>
      <c r="C421" s="63">
        <v>918</v>
      </c>
      <c r="D421" s="8" t="s">
        <v>23</v>
      </c>
      <c r="E421" s="8" t="s">
        <v>5</v>
      </c>
      <c r="F421" s="5" t="s">
        <v>557</v>
      </c>
      <c r="G421" s="40" t="s">
        <v>557</v>
      </c>
      <c r="H421" s="5" t="s">
        <v>557</v>
      </c>
      <c r="I421" s="5" t="s">
        <v>557</v>
      </c>
      <c r="J421" s="40" t="s">
        <v>557</v>
      </c>
      <c r="K421" s="12">
        <f t="shared" ref="K421:L423" si="58">K422</f>
        <v>179808.80000000002</v>
      </c>
      <c r="L421" s="12">
        <f t="shared" si="58"/>
        <v>144200.5</v>
      </c>
      <c r="M421" s="12">
        <f t="shared" si="53"/>
        <v>80.196575473502961</v>
      </c>
      <c r="N421" s="9"/>
    </row>
    <row r="422" spans="1:14" s="28" customFormat="1" ht="31.5" x14ac:dyDescent="0.2">
      <c r="A422" s="33"/>
      <c r="B422" s="48" t="s">
        <v>251</v>
      </c>
      <c r="C422" s="63">
        <v>918</v>
      </c>
      <c r="D422" s="8" t="s">
        <v>23</v>
      </c>
      <c r="E422" s="8" t="s">
        <v>5</v>
      </c>
      <c r="F422" s="8" t="s">
        <v>4</v>
      </c>
      <c r="G422" s="40" t="s">
        <v>557</v>
      </c>
      <c r="H422" s="5" t="s">
        <v>557</v>
      </c>
      <c r="I422" s="5" t="s">
        <v>557</v>
      </c>
      <c r="J422" s="40" t="s">
        <v>557</v>
      </c>
      <c r="K422" s="12">
        <f t="shared" si="58"/>
        <v>179808.80000000002</v>
      </c>
      <c r="L422" s="12">
        <f t="shared" si="58"/>
        <v>144200.5</v>
      </c>
      <c r="M422" s="12">
        <f t="shared" si="53"/>
        <v>80.196575473502961</v>
      </c>
      <c r="N422" s="9"/>
    </row>
    <row r="423" spans="1:14" s="28" customFormat="1" ht="31.5" x14ac:dyDescent="0.2">
      <c r="A423" s="33"/>
      <c r="B423" s="48" t="s">
        <v>136</v>
      </c>
      <c r="C423" s="63">
        <v>918</v>
      </c>
      <c r="D423" s="8" t="s">
        <v>23</v>
      </c>
      <c r="E423" s="8" t="s">
        <v>5</v>
      </c>
      <c r="F423" s="8" t="s">
        <v>4</v>
      </c>
      <c r="G423" s="63">
        <v>1</v>
      </c>
      <c r="H423" s="5" t="s">
        <v>557</v>
      </c>
      <c r="I423" s="5" t="s">
        <v>557</v>
      </c>
      <c r="J423" s="40" t="s">
        <v>557</v>
      </c>
      <c r="K423" s="12">
        <f t="shared" si="58"/>
        <v>179808.80000000002</v>
      </c>
      <c r="L423" s="12">
        <f t="shared" si="58"/>
        <v>144200.5</v>
      </c>
      <c r="M423" s="12">
        <f t="shared" si="53"/>
        <v>80.196575473502961</v>
      </c>
      <c r="N423" s="9"/>
    </row>
    <row r="424" spans="1:14" s="28" customFormat="1" ht="78.75" x14ac:dyDescent="0.2">
      <c r="A424" s="33"/>
      <c r="B424" s="49" t="s">
        <v>137</v>
      </c>
      <c r="C424" s="63">
        <v>918</v>
      </c>
      <c r="D424" s="8" t="s">
        <v>23</v>
      </c>
      <c r="E424" s="8" t="s">
        <v>5</v>
      </c>
      <c r="F424" s="8" t="s">
        <v>4</v>
      </c>
      <c r="G424" s="63">
        <v>1</v>
      </c>
      <c r="H424" s="8" t="s">
        <v>2</v>
      </c>
      <c r="I424" s="5" t="s">
        <v>557</v>
      </c>
      <c r="J424" s="40" t="s">
        <v>557</v>
      </c>
      <c r="K424" s="12">
        <f>K425+K429+K427</f>
        <v>179808.80000000002</v>
      </c>
      <c r="L424" s="12">
        <f>L425+L429+L427</f>
        <v>144200.5</v>
      </c>
      <c r="M424" s="12">
        <f t="shared" si="53"/>
        <v>80.196575473502961</v>
      </c>
      <c r="N424" s="9"/>
    </row>
    <row r="425" spans="1:14" s="28" customFormat="1" ht="127.5" customHeight="1" x14ac:dyDescent="0.2">
      <c r="A425" s="33"/>
      <c r="B425" s="19" t="s">
        <v>513</v>
      </c>
      <c r="C425" s="63">
        <v>918</v>
      </c>
      <c r="D425" s="8" t="s">
        <v>23</v>
      </c>
      <c r="E425" s="8" t="s">
        <v>5</v>
      </c>
      <c r="F425" s="8" t="s">
        <v>4</v>
      </c>
      <c r="G425" s="8" t="s">
        <v>116</v>
      </c>
      <c r="H425" s="8" t="s">
        <v>2</v>
      </c>
      <c r="I425" s="8" t="s">
        <v>354</v>
      </c>
      <c r="J425" s="40" t="s">
        <v>557</v>
      </c>
      <c r="K425" s="12">
        <f>K426</f>
        <v>149545.70000000001</v>
      </c>
      <c r="L425" s="12">
        <f>L426</f>
        <v>134812.29999999999</v>
      </c>
      <c r="M425" s="12">
        <f t="shared" si="53"/>
        <v>90.147894590081819</v>
      </c>
      <c r="N425" s="9"/>
    </row>
    <row r="426" spans="1:14" s="28" customFormat="1" ht="32.25" customHeight="1" x14ac:dyDescent="0.2">
      <c r="A426" s="33"/>
      <c r="B426" s="48" t="s">
        <v>95</v>
      </c>
      <c r="C426" s="63">
        <v>918</v>
      </c>
      <c r="D426" s="8" t="s">
        <v>23</v>
      </c>
      <c r="E426" s="8" t="s">
        <v>5</v>
      </c>
      <c r="F426" s="8" t="s">
        <v>4</v>
      </c>
      <c r="G426" s="8" t="s">
        <v>116</v>
      </c>
      <c r="H426" s="8" t="s">
        <v>2</v>
      </c>
      <c r="I426" s="8" t="s">
        <v>354</v>
      </c>
      <c r="J426" s="61" t="s">
        <v>64</v>
      </c>
      <c r="K426" s="12">
        <f>3393.1+54849.9+108+67623.9+4316.5+18099.1+1155.2</f>
        <v>149545.70000000001</v>
      </c>
      <c r="L426" s="12">
        <v>134812.29999999999</v>
      </c>
      <c r="M426" s="12">
        <f t="shared" si="53"/>
        <v>90.147894590081819</v>
      </c>
      <c r="N426" s="9"/>
    </row>
    <row r="427" spans="1:14" s="28" customFormat="1" ht="129" customHeight="1" x14ac:dyDescent="0.2">
      <c r="A427" s="33"/>
      <c r="B427" s="49" t="s">
        <v>512</v>
      </c>
      <c r="C427" s="63">
        <v>918</v>
      </c>
      <c r="D427" s="8" t="s">
        <v>23</v>
      </c>
      <c r="E427" s="8" t="s">
        <v>5</v>
      </c>
      <c r="F427" s="8" t="s">
        <v>4</v>
      </c>
      <c r="G427" s="63">
        <v>1</v>
      </c>
      <c r="H427" s="8" t="s">
        <v>2</v>
      </c>
      <c r="I427" s="8" t="s">
        <v>481</v>
      </c>
      <c r="J427" s="40" t="s">
        <v>557</v>
      </c>
      <c r="K427" s="12">
        <f>K428</f>
        <v>28790.6</v>
      </c>
      <c r="L427" s="12">
        <f>L428</f>
        <v>9388.2000000000007</v>
      </c>
      <c r="M427" s="12">
        <f t="shared" si="53"/>
        <v>32.608559738247905</v>
      </c>
      <c r="N427" s="9"/>
    </row>
    <row r="428" spans="1:14" s="28" customFormat="1" ht="33" customHeight="1" x14ac:dyDescent="0.2">
      <c r="A428" s="33"/>
      <c r="B428" s="48" t="s">
        <v>95</v>
      </c>
      <c r="C428" s="63">
        <v>918</v>
      </c>
      <c r="D428" s="8" t="s">
        <v>23</v>
      </c>
      <c r="E428" s="8" t="s">
        <v>5</v>
      </c>
      <c r="F428" s="8" t="s">
        <v>4</v>
      </c>
      <c r="G428" s="63">
        <v>1</v>
      </c>
      <c r="H428" s="8" t="s">
        <v>2</v>
      </c>
      <c r="I428" s="8" t="s">
        <v>481</v>
      </c>
      <c r="J428" s="8" t="s">
        <v>64</v>
      </c>
      <c r="K428" s="12">
        <f>4316.5+9132.9+19657.7-4316.5</f>
        <v>28790.6</v>
      </c>
      <c r="L428" s="12">
        <v>9388.2000000000007</v>
      </c>
      <c r="M428" s="12">
        <f t="shared" si="53"/>
        <v>32.608559738247905</v>
      </c>
      <c r="N428" s="9"/>
    </row>
    <row r="429" spans="1:14" s="28" customFormat="1" ht="47.25" x14ac:dyDescent="0.2">
      <c r="A429" s="33"/>
      <c r="B429" s="49" t="s">
        <v>452</v>
      </c>
      <c r="C429" s="63">
        <v>918</v>
      </c>
      <c r="D429" s="8" t="s">
        <v>23</v>
      </c>
      <c r="E429" s="8" t="s">
        <v>5</v>
      </c>
      <c r="F429" s="8" t="s">
        <v>4</v>
      </c>
      <c r="G429" s="63">
        <v>1</v>
      </c>
      <c r="H429" s="8" t="s">
        <v>2</v>
      </c>
      <c r="I429" s="8" t="s">
        <v>453</v>
      </c>
      <c r="J429" s="40" t="s">
        <v>557</v>
      </c>
      <c r="K429" s="12">
        <f>K430</f>
        <v>1472.4999999999945</v>
      </c>
      <c r="L429" s="12">
        <f>L430</f>
        <v>0</v>
      </c>
      <c r="M429" s="12">
        <f t="shared" si="53"/>
        <v>0</v>
      </c>
      <c r="N429" s="9"/>
    </row>
    <row r="430" spans="1:14" s="28" customFormat="1" ht="31.5" customHeight="1" x14ac:dyDescent="0.2">
      <c r="A430" s="33"/>
      <c r="B430" s="48" t="s">
        <v>95</v>
      </c>
      <c r="C430" s="63">
        <v>918</v>
      </c>
      <c r="D430" s="8" t="s">
        <v>23</v>
      </c>
      <c r="E430" s="8" t="s">
        <v>5</v>
      </c>
      <c r="F430" s="8" t="s">
        <v>4</v>
      </c>
      <c r="G430" s="63">
        <v>1</v>
      </c>
      <c r="H430" s="8" t="s">
        <v>2</v>
      </c>
      <c r="I430" s="8" t="s">
        <v>453</v>
      </c>
      <c r="J430" s="8" t="s">
        <v>64</v>
      </c>
      <c r="K430" s="12">
        <f>1472.5+233946.6-108+108-220497.2-4316.5-9132.9</f>
        <v>1472.4999999999945</v>
      </c>
      <c r="L430" s="12">
        <v>0</v>
      </c>
      <c r="M430" s="12">
        <f t="shared" si="53"/>
        <v>0</v>
      </c>
      <c r="N430" s="9"/>
    </row>
    <row r="431" spans="1:14" s="28" customFormat="1" ht="30.75" customHeight="1" x14ac:dyDescent="0.2">
      <c r="A431" s="84">
        <v>6</v>
      </c>
      <c r="B431" s="19" t="s">
        <v>52</v>
      </c>
      <c r="C431" s="62">
        <v>920</v>
      </c>
      <c r="D431" s="40" t="s">
        <v>557</v>
      </c>
      <c r="E431" s="40" t="s">
        <v>557</v>
      </c>
      <c r="F431" s="5" t="s">
        <v>557</v>
      </c>
      <c r="G431" s="40" t="s">
        <v>557</v>
      </c>
      <c r="H431" s="5" t="s">
        <v>557</v>
      </c>
      <c r="I431" s="5" t="s">
        <v>557</v>
      </c>
      <c r="J431" s="40" t="s">
        <v>557</v>
      </c>
      <c r="K431" s="12">
        <f>SUM(K432+K495)</f>
        <v>96235.299999999988</v>
      </c>
      <c r="L431" s="12">
        <f>SUM(L432+L495)</f>
        <v>92414.399999999994</v>
      </c>
      <c r="M431" s="12">
        <f t="shared" si="53"/>
        <v>96.029627382052112</v>
      </c>
      <c r="N431" s="9"/>
    </row>
    <row r="432" spans="1:14" s="28" customFormat="1" ht="31.5" x14ac:dyDescent="0.2">
      <c r="A432" s="84"/>
      <c r="B432" s="19" t="s">
        <v>14</v>
      </c>
      <c r="C432" s="62">
        <v>920</v>
      </c>
      <c r="D432" s="61" t="s">
        <v>5</v>
      </c>
      <c r="E432" s="40" t="s">
        <v>557</v>
      </c>
      <c r="F432" s="5" t="s">
        <v>557</v>
      </c>
      <c r="G432" s="40" t="s">
        <v>557</v>
      </c>
      <c r="H432" s="5" t="s">
        <v>557</v>
      </c>
      <c r="I432" s="5" t="s">
        <v>557</v>
      </c>
      <c r="J432" s="40" t="s">
        <v>557</v>
      </c>
      <c r="K432" s="12">
        <f>SUM(K433)</f>
        <v>96214.399999999994</v>
      </c>
      <c r="L432" s="12">
        <f>SUM(L433)</f>
        <v>92414.399999999994</v>
      </c>
      <c r="M432" s="12">
        <f t="shared" si="53"/>
        <v>96.050487245152496</v>
      </c>
      <c r="N432" s="9"/>
    </row>
    <row r="433" spans="1:14" s="28" customFormat="1" ht="47.25" x14ac:dyDescent="0.2">
      <c r="A433" s="84"/>
      <c r="B433" s="19" t="s">
        <v>356</v>
      </c>
      <c r="C433" s="62">
        <v>920</v>
      </c>
      <c r="D433" s="61" t="s">
        <v>5</v>
      </c>
      <c r="E433" s="8" t="s">
        <v>21</v>
      </c>
      <c r="F433" s="5" t="s">
        <v>557</v>
      </c>
      <c r="G433" s="40" t="s">
        <v>557</v>
      </c>
      <c r="H433" s="5" t="s">
        <v>557</v>
      </c>
      <c r="I433" s="5" t="s">
        <v>557</v>
      </c>
      <c r="J433" s="40" t="s">
        <v>557</v>
      </c>
      <c r="K433" s="12">
        <f>SUM(K434)</f>
        <v>96214.399999999994</v>
      </c>
      <c r="L433" s="12">
        <f>SUM(L434)</f>
        <v>92414.399999999994</v>
      </c>
      <c r="M433" s="12">
        <f t="shared" si="53"/>
        <v>96.050487245152496</v>
      </c>
      <c r="N433" s="9"/>
    </row>
    <row r="434" spans="1:14" s="28" customFormat="1" ht="47.25" x14ac:dyDescent="0.2">
      <c r="A434" s="84"/>
      <c r="B434" s="41" t="s">
        <v>196</v>
      </c>
      <c r="C434" s="62">
        <v>920</v>
      </c>
      <c r="D434" s="61" t="s">
        <v>5</v>
      </c>
      <c r="E434" s="8" t="s">
        <v>21</v>
      </c>
      <c r="F434" s="61" t="s">
        <v>41</v>
      </c>
      <c r="G434" s="40" t="s">
        <v>557</v>
      </c>
      <c r="H434" s="5" t="s">
        <v>557</v>
      </c>
      <c r="I434" s="5" t="s">
        <v>557</v>
      </c>
      <c r="J434" s="40" t="s">
        <v>557</v>
      </c>
      <c r="K434" s="12">
        <f>SUM(K435+K465+K478)</f>
        <v>96214.399999999994</v>
      </c>
      <c r="L434" s="12">
        <f>SUM(L435+L465+L478)</f>
        <v>92414.399999999994</v>
      </c>
      <c r="M434" s="12">
        <f t="shared" si="53"/>
        <v>96.050487245152496</v>
      </c>
      <c r="N434" s="9"/>
    </row>
    <row r="435" spans="1:14" s="28" customFormat="1" ht="48" customHeight="1" x14ac:dyDescent="0.2">
      <c r="A435" s="84"/>
      <c r="B435" s="41" t="s">
        <v>252</v>
      </c>
      <c r="C435" s="62">
        <v>920</v>
      </c>
      <c r="D435" s="61" t="s">
        <v>5</v>
      </c>
      <c r="E435" s="8" t="s">
        <v>21</v>
      </c>
      <c r="F435" s="61" t="s">
        <v>41</v>
      </c>
      <c r="G435" s="62">
        <v>1</v>
      </c>
      <c r="H435" s="5" t="s">
        <v>557</v>
      </c>
      <c r="I435" s="5" t="s">
        <v>557</v>
      </c>
      <c r="J435" s="40" t="s">
        <v>557</v>
      </c>
      <c r="K435" s="12">
        <f>SUM(K436+K455)</f>
        <v>56911.200000000004</v>
      </c>
      <c r="L435" s="12">
        <f>SUM(L436+L455)</f>
        <v>53596.799999999996</v>
      </c>
      <c r="M435" s="12">
        <f t="shared" si="53"/>
        <v>94.176190275376356</v>
      </c>
      <c r="N435" s="9"/>
    </row>
    <row r="436" spans="1:14" s="28" customFormat="1" ht="47.25" x14ac:dyDescent="0.2">
      <c r="A436" s="84"/>
      <c r="B436" s="41" t="s">
        <v>166</v>
      </c>
      <c r="C436" s="62">
        <v>920</v>
      </c>
      <c r="D436" s="61" t="s">
        <v>5</v>
      </c>
      <c r="E436" s="8" t="s">
        <v>21</v>
      </c>
      <c r="F436" s="61" t="s">
        <v>41</v>
      </c>
      <c r="G436" s="62">
        <v>1</v>
      </c>
      <c r="H436" s="61" t="s">
        <v>2</v>
      </c>
      <c r="I436" s="5" t="s">
        <v>557</v>
      </c>
      <c r="J436" s="40" t="s">
        <v>557</v>
      </c>
      <c r="K436" s="12">
        <f>SUM(K437+K451+K441+K445+K449)</f>
        <v>53326.700000000004</v>
      </c>
      <c r="L436" s="12">
        <f>SUM(L437+L451+L441+L445+L449)</f>
        <v>50083.7</v>
      </c>
      <c r="M436" s="12">
        <f t="shared" si="53"/>
        <v>93.918618628191865</v>
      </c>
      <c r="N436" s="9"/>
    </row>
    <row r="437" spans="1:14" s="28" customFormat="1" ht="64.5" customHeight="1" x14ac:dyDescent="0.2">
      <c r="A437" s="84"/>
      <c r="B437" s="41" t="s">
        <v>84</v>
      </c>
      <c r="C437" s="62">
        <v>920</v>
      </c>
      <c r="D437" s="61" t="s">
        <v>5</v>
      </c>
      <c r="E437" s="8" t="s">
        <v>21</v>
      </c>
      <c r="F437" s="61" t="s">
        <v>41</v>
      </c>
      <c r="G437" s="62">
        <v>1</v>
      </c>
      <c r="H437" s="61" t="s">
        <v>2</v>
      </c>
      <c r="I437" s="61" t="s">
        <v>111</v>
      </c>
      <c r="J437" s="40" t="s">
        <v>557</v>
      </c>
      <c r="K437" s="12">
        <f t="shared" ref="K437:L437" si="59">SUM(K438:K440)</f>
        <v>11987.1</v>
      </c>
      <c r="L437" s="12">
        <f t="shared" si="59"/>
        <v>10837.2</v>
      </c>
      <c r="M437" s="12">
        <f t="shared" si="53"/>
        <v>90.407187726806313</v>
      </c>
      <c r="N437" s="9"/>
    </row>
    <row r="438" spans="1:14" s="28" customFormat="1" ht="48.75" customHeight="1" x14ac:dyDescent="0.2">
      <c r="A438" s="84"/>
      <c r="B438" s="19" t="s">
        <v>54</v>
      </c>
      <c r="C438" s="62">
        <v>920</v>
      </c>
      <c r="D438" s="61" t="s">
        <v>5</v>
      </c>
      <c r="E438" s="8" t="s">
        <v>21</v>
      </c>
      <c r="F438" s="61" t="s">
        <v>41</v>
      </c>
      <c r="G438" s="62">
        <v>1</v>
      </c>
      <c r="H438" s="61" t="s">
        <v>2</v>
      </c>
      <c r="I438" s="61" t="s">
        <v>111</v>
      </c>
      <c r="J438" s="61" t="s">
        <v>55</v>
      </c>
      <c r="K438" s="12">
        <v>9885.2000000000007</v>
      </c>
      <c r="L438" s="12">
        <v>9885.2000000000007</v>
      </c>
      <c r="M438" s="12">
        <f t="shared" si="53"/>
        <v>100</v>
      </c>
      <c r="N438" s="9"/>
    </row>
    <row r="439" spans="1:14" s="28" customFormat="1" ht="31.5" x14ac:dyDescent="0.2">
      <c r="A439" s="84"/>
      <c r="B439" s="19" t="s">
        <v>164</v>
      </c>
      <c r="C439" s="62">
        <v>920</v>
      </c>
      <c r="D439" s="61" t="s">
        <v>5</v>
      </c>
      <c r="E439" s="8" t="s">
        <v>21</v>
      </c>
      <c r="F439" s="61" t="s">
        <v>41</v>
      </c>
      <c r="G439" s="62">
        <v>1</v>
      </c>
      <c r="H439" s="61" t="s">
        <v>2</v>
      </c>
      <c r="I439" s="61" t="s">
        <v>111</v>
      </c>
      <c r="J439" s="61" t="s">
        <v>57</v>
      </c>
      <c r="K439" s="12">
        <v>2062</v>
      </c>
      <c r="L439" s="12">
        <v>912.1</v>
      </c>
      <c r="M439" s="12">
        <f t="shared" si="53"/>
        <v>44.233753637245393</v>
      </c>
      <c r="N439" s="9"/>
    </row>
    <row r="440" spans="1:14" s="28" customFormat="1" x14ac:dyDescent="0.2">
      <c r="A440" s="84"/>
      <c r="B440" s="19" t="s">
        <v>59</v>
      </c>
      <c r="C440" s="62">
        <v>920</v>
      </c>
      <c r="D440" s="61" t="s">
        <v>5</v>
      </c>
      <c r="E440" s="8" t="s">
        <v>21</v>
      </c>
      <c r="F440" s="61" t="s">
        <v>41</v>
      </c>
      <c r="G440" s="62">
        <v>1</v>
      </c>
      <c r="H440" s="61" t="s">
        <v>2</v>
      </c>
      <c r="I440" s="61" t="s">
        <v>111</v>
      </c>
      <c r="J440" s="61" t="s">
        <v>60</v>
      </c>
      <c r="K440" s="12">
        <v>39.9</v>
      </c>
      <c r="L440" s="12">
        <v>39.9</v>
      </c>
      <c r="M440" s="12">
        <f t="shared" si="53"/>
        <v>100</v>
      </c>
      <c r="N440" s="9"/>
    </row>
    <row r="441" spans="1:14" s="28" customFormat="1" ht="94.5" x14ac:dyDescent="0.2">
      <c r="A441" s="84"/>
      <c r="B441" s="19" t="s">
        <v>223</v>
      </c>
      <c r="C441" s="62">
        <v>920</v>
      </c>
      <c r="D441" s="61" t="s">
        <v>5</v>
      </c>
      <c r="E441" s="8" t="s">
        <v>21</v>
      </c>
      <c r="F441" s="61" t="s">
        <v>41</v>
      </c>
      <c r="G441" s="62">
        <v>1</v>
      </c>
      <c r="H441" s="61" t="s">
        <v>2</v>
      </c>
      <c r="I441" s="61" t="s">
        <v>222</v>
      </c>
      <c r="J441" s="40" t="s">
        <v>557</v>
      </c>
      <c r="K441" s="12">
        <f>SUM(K442:K444)</f>
        <v>23362.400000000001</v>
      </c>
      <c r="L441" s="12">
        <f>SUM(L442:L444)</f>
        <v>21315.8</v>
      </c>
      <c r="M441" s="12">
        <f t="shared" si="53"/>
        <v>91.23976988665548</v>
      </c>
      <c r="N441" s="9"/>
    </row>
    <row r="442" spans="1:14" s="28" customFormat="1" ht="48.75" customHeight="1" x14ac:dyDescent="0.2">
      <c r="A442" s="84"/>
      <c r="B442" s="19" t="s">
        <v>54</v>
      </c>
      <c r="C442" s="62">
        <v>920</v>
      </c>
      <c r="D442" s="61" t="s">
        <v>5</v>
      </c>
      <c r="E442" s="8" t="s">
        <v>21</v>
      </c>
      <c r="F442" s="61" t="s">
        <v>41</v>
      </c>
      <c r="G442" s="62">
        <v>1</v>
      </c>
      <c r="H442" s="61" t="s">
        <v>2</v>
      </c>
      <c r="I442" s="61" t="s">
        <v>222</v>
      </c>
      <c r="J442" s="61" t="s">
        <v>55</v>
      </c>
      <c r="K442" s="12">
        <v>19126.099999999999</v>
      </c>
      <c r="L442" s="12">
        <v>19126.099999999999</v>
      </c>
      <c r="M442" s="12">
        <f t="shared" si="53"/>
        <v>100</v>
      </c>
      <c r="N442" s="9"/>
    </row>
    <row r="443" spans="1:14" s="28" customFormat="1" ht="31.5" x14ac:dyDescent="0.2">
      <c r="A443" s="84"/>
      <c r="B443" s="19" t="s">
        <v>164</v>
      </c>
      <c r="C443" s="62">
        <v>920</v>
      </c>
      <c r="D443" s="61" t="s">
        <v>5</v>
      </c>
      <c r="E443" s="8" t="s">
        <v>21</v>
      </c>
      <c r="F443" s="61" t="s">
        <v>41</v>
      </c>
      <c r="G443" s="62">
        <v>1</v>
      </c>
      <c r="H443" s="61" t="s">
        <v>2</v>
      </c>
      <c r="I443" s="61" t="s">
        <v>222</v>
      </c>
      <c r="J443" s="61" t="s">
        <v>57</v>
      </c>
      <c r="K443" s="12">
        <v>4100.3999999999996</v>
      </c>
      <c r="L443" s="12">
        <v>2053.8000000000002</v>
      </c>
      <c r="M443" s="12">
        <f t="shared" si="53"/>
        <v>50.087796312554879</v>
      </c>
      <c r="N443" s="9"/>
    </row>
    <row r="444" spans="1:14" s="28" customFormat="1" x14ac:dyDescent="0.2">
      <c r="A444" s="84"/>
      <c r="B444" s="19" t="s">
        <v>59</v>
      </c>
      <c r="C444" s="62">
        <v>920</v>
      </c>
      <c r="D444" s="61" t="s">
        <v>5</v>
      </c>
      <c r="E444" s="8" t="s">
        <v>21</v>
      </c>
      <c r="F444" s="61" t="s">
        <v>41</v>
      </c>
      <c r="G444" s="62">
        <v>1</v>
      </c>
      <c r="H444" s="61" t="s">
        <v>2</v>
      </c>
      <c r="I444" s="61" t="s">
        <v>222</v>
      </c>
      <c r="J444" s="61" t="s">
        <v>60</v>
      </c>
      <c r="K444" s="12">
        <v>135.9</v>
      </c>
      <c r="L444" s="12">
        <v>135.9</v>
      </c>
      <c r="M444" s="12">
        <f t="shared" si="53"/>
        <v>100</v>
      </c>
      <c r="N444" s="9"/>
    </row>
    <row r="445" spans="1:14" s="28" customFormat="1" ht="78.75" x14ac:dyDescent="0.2">
      <c r="A445" s="84"/>
      <c r="B445" s="19" t="s">
        <v>224</v>
      </c>
      <c r="C445" s="62">
        <v>920</v>
      </c>
      <c r="D445" s="61" t="s">
        <v>5</v>
      </c>
      <c r="E445" s="8" t="s">
        <v>21</v>
      </c>
      <c r="F445" s="61" t="s">
        <v>41</v>
      </c>
      <c r="G445" s="62">
        <v>1</v>
      </c>
      <c r="H445" s="61" t="s">
        <v>2</v>
      </c>
      <c r="I445" s="61" t="s">
        <v>225</v>
      </c>
      <c r="J445" s="40" t="s">
        <v>557</v>
      </c>
      <c r="K445" s="12">
        <f>K446+K447+K448</f>
        <v>7790.0000000000009</v>
      </c>
      <c r="L445" s="12">
        <f>L446+L447+L448</f>
        <v>7744.9000000000005</v>
      </c>
      <c r="M445" s="12">
        <f t="shared" si="53"/>
        <v>99.421052631578945</v>
      </c>
      <c r="N445" s="9"/>
    </row>
    <row r="446" spans="1:14" s="28" customFormat="1" ht="45.75" customHeight="1" x14ac:dyDescent="0.2">
      <c r="A446" s="84"/>
      <c r="B446" s="19" t="s">
        <v>54</v>
      </c>
      <c r="C446" s="62">
        <v>920</v>
      </c>
      <c r="D446" s="61" t="s">
        <v>5</v>
      </c>
      <c r="E446" s="8" t="s">
        <v>21</v>
      </c>
      <c r="F446" s="61" t="s">
        <v>41</v>
      </c>
      <c r="G446" s="62">
        <v>1</v>
      </c>
      <c r="H446" s="61" t="s">
        <v>2</v>
      </c>
      <c r="I446" s="61" t="s">
        <v>225</v>
      </c>
      <c r="J446" s="61" t="s">
        <v>55</v>
      </c>
      <c r="K446" s="12">
        <v>6847.1</v>
      </c>
      <c r="L446" s="12">
        <v>6847.1</v>
      </c>
      <c r="M446" s="12">
        <f t="shared" si="53"/>
        <v>100</v>
      </c>
      <c r="N446" s="9"/>
    </row>
    <row r="447" spans="1:14" s="28" customFormat="1" ht="31.5" x14ac:dyDescent="0.2">
      <c r="A447" s="84"/>
      <c r="B447" s="19" t="s">
        <v>164</v>
      </c>
      <c r="C447" s="62">
        <v>920</v>
      </c>
      <c r="D447" s="61" t="s">
        <v>5</v>
      </c>
      <c r="E447" s="8" t="s">
        <v>21</v>
      </c>
      <c r="F447" s="61" t="s">
        <v>41</v>
      </c>
      <c r="G447" s="62">
        <v>1</v>
      </c>
      <c r="H447" s="61" t="s">
        <v>2</v>
      </c>
      <c r="I447" s="61" t="s">
        <v>225</v>
      </c>
      <c r="J447" s="61" t="s">
        <v>57</v>
      </c>
      <c r="K447" s="12">
        <v>881.1</v>
      </c>
      <c r="L447" s="12">
        <v>836</v>
      </c>
      <c r="M447" s="12">
        <f t="shared" si="53"/>
        <v>94.881398252184766</v>
      </c>
      <c r="N447" s="9"/>
    </row>
    <row r="448" spans="1:14" s="28" customFormat="1" x14ac:dyDescent="0.2">
      <c r="A448" s="84"/>
      <c r="B448" s="19" t="s">
        <v>59</v>
      </c>
      <c r="C448" s="62">
        <v>920</v>
      </c>
      <c r="D448" s="61" t="s">
        <v>5</v>
      </c>
      <c r="E448" s="8" t="s">
        <v>21</v>
      </c>
      <c r="F448" s="61" t="s">
        <v>41</v>
      </c>
      <c r="G448" s="62">
        <v>1</v>
      </c>
      <c r="H448" s="61" t="s">
        <v>2</v>
      </c>
      <c r="I448" s="61" t="s">
        <v>225</v>
      </c>
      <c r="J448" s="61" t="s">
        <v>60</v>
      </c>
      <c r="K448" s="12">
        <v>61.8</v>
      </c>
      <c r="L448" s="12">
        <v>61.8</v>
      </c>
      <c r="M448" s="12">
        <f t="shared" si="53"/>
        <v>100</v>
      </c>
      <c r="N448" s="9"/>
    </row>
    <row r="449" spans="1:14" s="28" customFormat="1" ht="63" x14ac:dyDescent="0.2">
      <c r="A449" s="84"/>
      <c r="B449" s="19" t="s">
        <v>399</v>
      </c>
      <c r="C449" s="62">
        <v>920</v>
      </c>
      <c r="D449" s="61" t="s">
        <v>5</v>
      </c>
      <c r="E449" s="8" t="s">
        <v>21</v>
      </c>
      <c r="F449" s="61" t="s">
        <v>41</v>
      </c>
      <c r="G449" s="62">
        <v>1</v>
      </c>
      <c r="H449" s="61" t="s">
        <v>2</v>
      </c>
      <c r="I449" s="61" t="s">
        <v>229</v>
      </c>
      <c r="J449" s="40" t="s">
        <v>557</v>
      </c>
      <c r="K449" s="12">
        <f>SUM(K450)</f>
        <v>1241.5</v>
      </c>
      <c r="L449" s="12">
        <f>SUM(L450)</f>
        <v>1240.0999999999999</v>
      </c>
      <c r="M449" s="12">
        <f t="shared" si="53"/>
        <v>99.887233185662495</v>
      </c>
      <c r="N449" s="9"/>
    </row>
    <row r="450" spans="1:14" s="28" customFormat="1" ht="31.5" x14ac:dyDescent="0.2">
      <c r="A450" s="84"/>
      <c r="B450" s="19" t="s">
        <v>164</v>
      </c>
      <c r="C450" s="62">
        <v>920</v>
      </c>
      <c r="D450" s="61" t="s">
        <v>5</v>
      </c>
      <c r="E450" s="8" t="s">
        <v>21</v>
      </c>
      <c r="F450" s="61" t="s">
        <v>41</v>
      </c>
      <c r="G450" s="62">
        <v>1</v>
      </c>
      <c r="H450" s="61" t="s">
        <v>2</v>
      </c>
      <c r="I450" s="61" t="s">
        <v>229</v>
      </c>
      <c r="J450" s="61" t="s">
        <v>57</v>
      </c>
      <c r="K450" s="12">
        <v>1241.5</v>
      </c>
      <c r="L450" s="12">
        <v>1240.0999999999999</v>
      </c>
      <c r="M450" s="12">
        <f t="shared" si="53"/>
        <v>99.887233185662495</v>
      </c>
      <c r="N450" s="9"/>
    </row>
    <row r="451" spans="1:14" s="28" customFormat="1" ht="80.25" customHeight="1" x14ac:dyDescent="0.2">
      <c r="A451" s="84"/>
      <c r="B451" s="19" t="s">
        <v>343</v>
      </c>
      <c r="C451" s="62">
        <v>920</v>
      </c>
      <c r="D451" s="61" t="s">
        <v>5</v>
      </c>
      <c r="E451" s="8" t="s">
        <v>21</v>
      </c>
      <c r="F451" s="8" t="s">
        <v>41</v>
      </c>
      <c r="G451" s="8" t="s">
        <v>116</v>
      </c>
      <c r="H451" s="8" t="s">
        <v>2</v>
      </c>
      <c r="I451" s="8" t="s">
        <v>186</v>
      </c>
      <c r="J451" s="40" t="s">
        <v>557</v>
      </c>
      <c r="K451" s="12">
        <f>SUM(K452:K454)</f>
        <v>8945.7000000000007</v>
      </c>
      <c r="L451" s="12">
        <f>SUM(L452:L454)</f>
        <v>8945.7000000000007</v>
      </c>
      <c r="M451" s="12">
        <f t="shared" si="53"/>
        <v>100</v>
      </c>
      <c r="N451" s="9"/>
    </row>
    <row r="452" spans="1:14" s="28" customFormat="1" ht="51" customHeight="1" x14ac:dyDescent="0.2">
      <c r="A452" s="84"/>
      <c r="B452" s="19" t="s">
        <v>54</v>
      </c>
      <c r="C452" s="62">
        <v>920</v>
      </c>
      <c r="D452" s="61" t="s">
        <v>5</v>
      </c>
      <c r="E452" s="8" t="s">
        <v>21</v>
      </c>
      <c r="F452" s="61" t="s">
        <v>41</v>
      </c>
      <c r="G452" s="62">
        <v>1</v>
      </c>
      <c r="H452" s="61" t="s">
        <v>2</v>
      </c>
      <c r="I452" s="61" t="s">
        <v>186</v>
      </c>
      <c r="J452" s="61" t="s">
        <v>55</v>
      </c>
      <c r="K452" s="12">
        <v>73.8</v>
      </c>
      <c r="L452" s="12">
        <v>73.8</v>
      </c>
      <c r="M452" s="12">
        <f t="shared" ref="M452" si="60">SUM(L452/K452*100)</f>
        <v>100</v>
      </c>
      <c r="N452" s="9"/>
    </row>
    <row r="453" spans="1:14" s="28" customFormat="1" ht="31.5" x14ac:dyDescent="0.2">
      <c r="A453" s="84"/>
      <c r="B453" s="19" t="s">
        <v>164</v>
      </c>
      <c r="C453" s="62">
        <v>920</v>
      </c>
      <c r="D453" s="61" t="s">
        <v>5</v>
      </c>
      <c r="E453" s="8" t="s">
        <v>21</v>
      </c>
      <c r="F453" s="8" t="s">
        <v>41</v>
      </c>
      <c r="G453" s="8" t="s">
        <v>116</v>
      </c>
      <c r="H453" s="8" t="s">
        <v>2</v>
      </c>
      <c r="I453" s="8" t="s">
        <v>186</v>
      </c>
      <c r="J453" s="61" t="s">
        <v>57</v>
      </c>
      <c r="K453" s="12">
        <v>4845.1000000000004</v>
      </c>
      <c r="L453" s="12">
        <v>4845.1000000000004</v>
      </c>
      <c r="M453" s="12">
        <f t="shared" si="53"/>
        <v>100</v>
      </c>
      <c r="N453" s="9"/>
    </row>
    <row r="454" spans="1:14" s="28" customFormat="1" x14ac:dyDescent="0.2">
      <c r="A454" s="84"/>
      <c r="B454" s="19" t="s">
        <v>22</v>
      </c>
      <c r="C454" s="62">
        <v>920</v>
      </c>
      <c r="D454" s="61" t="s">
        <v>5</v>
      </c>
      <c r="E454" s="8" t="s">
        <v>21</v>
      </c>
      <c r="F454" s="8" t="s">
        <v>41</v>
      </c>
      <c r="G454" s="8" t="s">
        <v>116</v>
      </c>
      <c r="H454" s="8" t="s">
        <v>2</v>
      </c>
      <c r="I454" s="8" t="s">
        <v>186</v>
      </c>
      <c r="J454" s="61" t="s">
        <v>69</v>
      </c>
      <c r="K454" s="12">
        <v>4026.8</v>
      </c>
      <c r="L454" s="12">
        <v>4026.8</v>
      </c>
      <c r="M454" s="12">
        <f t="shared" si="53"/>
        <v>100</v>
      </c>
      <c r="N454" s="9"/>
    </row>
    <row r="455" spans="1:14" s="28" customFormat="1" ht="47.25" x14ac:dyDescent="0.2">
      <c r="A455" s="84"/>
      <c r="B455" s="19" t="s">
        <v>138</v>
      </c>
      <c r="C455" s="62">
        <v>920</v>
      </c>
      <c r="D455" s="61" t="s">
        <v>5</v>
      </c>
      <c r="E455" s="8" t="s">
        <v>21</v>
      </c>
      <c r="F455" s="61" t="s">
        <v>41</v>
      </c>
      <c r="G455" s="62">
        <v>1</v>
      </c>
      <c r="H455" s="61" t="s">
        <v>4</v>
      </c>
      <c r="I455" s="5" t="s">
        <v>557</v>
      </c>
      <c r="J455" s="40" t="s">
        <v>557</v>
      </c>
      <c r="K455" s="12">
        <f>SUM(K456+K459+K461+K463)</f>
        <v>3584.5000000000005</v>
      </c>
      <c r="L455" s="12">
        <f>SUM(L456+L459+L461+L463)</f>
        <v>3513.1</v>
      </c>
      <c r="M455" s="12">
        <f t="shared" ref="M455:M509" si="61">SUM(L455/K455*100)</f>
        <v>98.008090389175607</v>
      </c>
      <c r="N455" s="9"/>
    </row>
    <row r="456" spans="1:14" s="28" customFormat="1" ht="31.5" x14ac:dyDescent="0.2">
      <c r="A456" s="84"/>
      <c r="B456" s="19" t="s">
        <v>53</v>
      </c>
      <c r="C456" s="62">
        <v>920</v>
      </c>
      <c r="D456" s="61" t="s">
        <v>5</v>
      </c>
      <c r="E456" s="8" t="s">
        <v>21</v>
      </c>
      <c r="F456" s="61" t="s">
        <v>41</v>
      </c>
      <c r="G456" s="62">
        <v>1</v>
      </c>
      <c r="H456" s="61" t="s">
        <v>4</v>
      </c>
      <c r="I456" s="61" t="s">
        <v>99</v>
      </c>
      <c r="J456" s="40" t="s">
        <v>557</v>
      </c>
      <c r="K456" s="12">
        <f>SUM(K457:K458)</f>
        <v>3453.5000000000005</v>
      </c>
      <c r="L456" s="12">
        <f>SUM(L457:L458)</f>
        <v>3433.5</v>
      </c>
      <c r="M456" s="12">
        <f t="shared" si="61"/>
        <v>99.420877370783245</v>
      </c>
      <c r="N456" s="9"/>
    </row>
    <row r="457" spans="1:14" s="28" customFormat="1" ht="50.25" customHeight="1" x14ac:dyDescent="0.2">
      <c r="A457" s="84"/>
      <c r="B457" s="19" t="s">
        <v>54</v>
      </c>
      <c r="C457" s="62">
        <v>920</v>
      </c>
      <c r="D457" s="61" t="s">
        <v>5</v>
      </c>
      <c r="E457" s="8" t="s">
        <v>21</v>
      </c>
      <c r="F457" s="61" t="s">
        <v>41</v>
      </c>
      <c r="G457" s="62">
        <v>1</v>
      </c>
      <c r="H457" s="61" t="s">
        <v>4</v>
      </c>
      <c r="I457" s="61" t="s">
        <v>99</v>
      </c>
      <c r="J457" s="61" t="s">
        <v>55</v>
      </c>
      <c r="K457" s="12">
        <f>3947.3+673.8-1330.4</f>
        <v>3290.7000000000003</v>
      </c>
      <c r="L457" s="12">
        <v>3277.2</v>
      </c>
      <c r="M457" s="12">
        <f t="shared" si="61"/>
        <v>99.589752940103921</v>
      </c>
      <c r="N457" s="9"/>
    </row>
    <row r="458" spans="1:14" s="28" customFormat="1" ht="31.5" x14ac:dyDescent="0.2">
      <c r="A458" s="84"/>
      <c r="B458" s="19" t="s">
        <v>164</v>
      </c>
      <c r="C458" s="62">
        <v>920</v>
      </c>
      <c r="D458" s="61" t="s">
        <v>5</v>
      </c>
      <c r="E458" s="8" t="s">
        <v>21</v>
      </c>
      <c r="F458" s="61" t="s">
        <v>41</v>
      </c>
      <c r="G458" s="62">
        <v>1</v>
      </c>
      <c r="H458" s="61" t="s">
        <v>4</v>
      </c>
      <c r="I458" s="61" t="s">
        <v>99</v>
      </c>
      <c r="J458" s="61" t="s">
        <v>57</v>
      </c>
      <c r="K458" s="12">
        <v>162.80000000000001</v>
      </c>
      <c r="L458" s="12">
        <v>156.30000000000001</v>
      </c>
      <c r="M458" s="12">
        <f t="shared" si="61"/>
        <v>96.007371007371006</v>
      </c>
      <c r="N458" s="9"/>
    </row>
    <row r="459" spans="1:14" s="28" customFormat="1" ht="94.5" x14ac:dyDescent="0.2">
      <c r="A459" s="84"/>
      <c r="B459" s="19" t="s">
        <v>526</v>
      </c>
      <c r="C459" s="62">
        <v>920</v>
      </c>
      <c r="D459" s="61" t="s">
        <v>5</v>
      </c>
      <c r="E459" s="8" t="s">
        <v>21</v>
      </c>
      <c r="F459" s="61" t="s">
        <v>41</v>
      </c>
      <c r="G459" s="62">
        <v>1</v>
      </c>
      <c r="H459" s="61" t="s">
        <v>4</v>
      </c>
      <c r="I459" s="61" t="s">
        <v>527</v>
      </c>
      <c r="J459" s="40" t="s">
        <v>557</v>
      </c>
      <c r="K459" s="12">
        <f>SUM(K460)</f>
        <v>11.7</v>
      </c>
      <c r="L459" s="12">
        <f>SUM(L460)</f>
        <v>11.7</v>
      </c>
      <c r="M459" s="12">
        <f t="shared" ref="M459:M460" si="62">SUM(L459/K459*100)</f>
        <v>100</v>
      </c>
      <c r="N459" s="9"/>
    </row>
    <row r="460" spans="1:14" s="28" customFormat="1" ht="31.5" x14ac:dyDescent="0.2">
      <c r="A460" s="84"/>
      <c r="B460" s="19" t="s">
        <v>164</v>
      </c>
      <c r="C460" s="62">
        <v>920</v>
      </c>
      <c r="D460" s="61" t="s">
        <v>5</v>
      </c>
      <c r="E460" s="8" t="s">
        <v>21</v>
      </c>
      <c r="F460" s="61" t="s">
        <v>41</v>
      </c>
      <c r="G460" s="62">
        <v>1</v>
      </c>
      <c r="H460" s="61" t="s">
        <v>4</v>
      </c>
      <c r="I460" s="61" t="s">
        <v>527</v>
      </c>
      <c r="J460" s="61" t="s">
        <v>57</v>
      </c>
      <c r="K460" s="12">
        <v>11.7</v>
      </c>
      <c r="L460" s="12">
        <v>11.7</v>
      </c>
      <c r="M460" s="12">
        <f t="shared" si="62"/>
        <v>100</v>
      </c>
      <c r="N460" s="9"/>
    </row>
    <row r="461" spans="1:14" s="28" customFormat="1" ht="31.5" x14ac:dyDescent="0.2">
      <c r="A461" s="84"/>
      <c r="B461" s="19" t="s">
        <v>374</v>
      </c>
      <c r="C461" s="62">
        <v>920</v>
      </c>
      <c r="D461" s="8" t="s">
        <v>5</v>
      </c>
      <c r="E461" s="8" t="s">
        <v>21</v>
      </c>
      <c r="F461" s="8" t="s">
        <v>41</v>
      </c>
      <c r="G461" s="63">
        <v>1</v>
      </c>
      <c r="H461" s="8" t="s">
        <v>4</v>
      </c>
      <c r="I461" s="8" t="s">
        <v>373</v>
      </c>
      <c r="J461" s="40" t="s">
        <v>557</v>
      </c>
      <c r="K461" s="12">
        <f>K462</f>
        <v>16.3</v>
      </c>
      <c r="L461" s="12">
        <f>L462</f>
        <v>9.4</v>
      </c>
      <c r="M461" s="12">
        <f t="shared" si="61"/>
        <v>57.668711656441715</v>
      </c>
      <c r="N461" s="9"/>
    </row>
    <row r="462" spans="1:14" s="28" customFormat="1" ht="31.5" x14ac:dyDescent="0.2">
      <c r="A462" s="84"/>
      <c r="B462" s="19" t="s">
        <v>164</v>
      </c>
      <c r="C462" s="62">
        <v>920</v>
      </c>
      <c r="D462" s="8" t="s">
        <v>5</v>
      </c>
      <c r="E462" s="8" t="s">
        <v>21</v>
      </c>
      <c r="F462" s="8" t="s">
        <v>41</v>
      </c>
      <c r="G462" s="63">
        <v>1</v>
      </c>
      <c r="H462" s="8" t="s">
        <v>4</v>
      </c>
      <c r="I462" s="8" t="s">
        <v>373</v>
      </c>
      <c r="J462" s="8" t="s">
        <v>57</v>
      </c>
      <c r="K462" s="12">
        <v>16.3</v>
      </c>
      <c r="L462" s="12">
        <v>9.4</v>
      </c>
      <c r="M462" s="12">
        <f t="shared" si="61"/>
        <v>57.668711656441715</v>
      </c>
      <c r="N462" s="9"/>
    </row>
    <row r="463" spans="1:14" s="28" customFormat="1" ht="47.25" x14ac:dyDescent="0.2">
      <c r="A463" s="84"/>
      <c r="B463" s="45" t="s">
        <v>381</v>
      </c>
      <c r="C463" s="62">
        <v>920</v>
      </c>
      <c r="D463" s="8" t="s">
        <v>5</v>
      </c>
      <c r="E463" s="8" t="s">
        <v>21</v>
      </c>
      <c r="F463" s="8" t="s">
        <v>41</v>
      </c>
      <c r="G463" s="8" t="s">
        <v>116</v>
      </c>
      <c r="H463" s="8" t="s">
        <v>4</v>
      </c>
      <c r="I463" s="8" t="s">
        <v>380</v>
      </c>
      <c r="J463" s="40" t="s">
        <v>557</v>
      </c>
      <c r="K463" s="12">
        <f>K464</f>
        <v>103</v>
      </c>
      <c r="L463" s="12">
        <f>L464</f>
        <v>58.5</v>
      </c>
      <c r="M463" s="12">
        <f t="shared" si="61"/>
        <v>56.796116504854368</v>
      </c>
      <c r="N463" s="9"/>
    </row>
    <row r="464" spans="1:14" s="28" customFormat="1" ht="31.5" x14ac:dyDescent="0.2">
      <c r="A464" s="84"/>
      <c r="B464" s="19" t="s">
        <v>164</v>
      </c>
      <c r="C464" s="62">
        <v>920</v>
      </c>
      <c r="D464" s="8" t="s">
        <v>5</v>
      </c>
      <c r="E464" s="8" t="s">
        <v>21</v>
      </c>
      <c r="F464" s="8" t="s">
        <v>41</v>
      </c>
      <c r="G464" s="8" t="s">
        <v>116</v>
      </c>
      <c r="H464" s="8" t="s">
        <v>4</v>
      </c>
      <c r="I464" s="8" t="s">
        <v>380</v>
      </c>
      <c r="J464" s="8" t="s">
        <v>57</v>
      </c>
      <c r="K464" s="12">
        <v>103</v>
      </c>
      <c r="L464" s="12">
        <v>58.5</v>
      </c>
      <c r="M464" s="12">
        <f t="shared" si="61"/>
        <v>56.796116504854368</v>
      </c>
      <c r="N464" s="9"/>
    </row>
    <row r="465" spans="1:14" s="28" customFormat="1" ht="31.5" x14ac:dyDescent="0.2">
      <c r="A465" s="84"/>
      <c r="B465" s="41" t="s">
        <v>253</v>
      </c>
      <c r="C465" s="62">
        <v>920</v>
      </c>
      <c r="D465" s="61" t="s">
        <v>5</v>
      </c>
      <c r="E465" s="8" t="s">
        <v>21</v>
      </c>
      <c r="F465" s="61" t="s">
        <v>41</v>
      </c>
      <c r="G465" s="62">
        <v>2</v>
      </c>
      <c r="H465" s="5" t="s">
        <v>557</v>
      </c>
      <c r="I465" s="5" t="s">
        <v>557</v>
      </c>
      <c r="J465" s="40" t="s">
        <v>557</v>
      </c>
      <c r="K465" s="12">
        <f>SUM(K466+K475)</f>
        <v>10787.1</v>
      </c>
      <c r="L465" s="12">
        <f>SUM(L466+L475)</f>
        <v>10629.4</v>
      </c>
      <c r="M465" s="12">
        <f t="shared" si="61"/>
        <v>98.538068618998608</v>
      </c>
      <c r="N465" s="9"/>
    </row>
    <row r="466" spans="1:14" s="28" customFormat="1" ht="78.75" x14ac:dyDescent="0.2">
      <c r="A466" s="84"/>
      <c r="B466" s="41" t="s">
        <v>139</v>
      </c>
      <c r="C466" s="62">
        <v>920</v>
      </c>
      <c r="D466" s="61" t="s">
        <v>5</v>
      </c>
      <c r="E466" s="8" t="s">
        <v>21</v>
      </c>
      <c r="F466" s="61" t="s">
        <v>41</v>
      </c>
      <c r="G466" s="62">
        <v>2</v>
      </c>
      <c r="H466" s="61" t="s">
        <v>2</v>
      </c>
      <c r="I466" s="5" t="s">
        <v>557</v>
      </c>
      <c r="J466" s="40" t="s">
        <v>557</v>
      </c>
      <c r="K466" s="12">
        <f t="shared" ref="K466:L466" si="63">SUM(K467+K471)</f>
        <v>8891.6</v>
      </c>
      <c r="L466" s="12">
        <f t="shared" si="63"/>
        <v>8734</v>
      </c>
      <c r="M466" s="12">
        <f t="shared" si="61"/>
        <v>98.227540600116953</v>
      </c>
      <c r="N466" s="9"/>
    </row>
    <row r="467" spans="1:14" s="28" customFormat="1" ht="64.5" customHeight="1" x14ac:dyDescent="0.2">
      <c r="A467" s="84"/>
      <c r="B467" s="19" t="s">
        <v>84</v>
      </c>
      <c r="C467" s="62">
        <v>920</v>
      </c>
      <c r="D467" s="61" t="s">
        <v>5</v>
      </c>
      <c r="E467" s="8" t="s">
        <v>21</v>
      </c>
      <c r="F467" s="61" t="s">
        <v>41</v>
      </c>
      <c r="G467" s="62">
        <v>2</v>
      </c>
      <c r="H467" s="61" t="s">
        <v>2</v>
      </c>
      <c r="I467" s="61" t="s">
        <v>111</v>
      </c>
      <c r="J467" s="40" t="s">
        <v>557</v>
      </c>
      <c r="K467" s="12">
        <f>SUM(K468:K470)</f>
        <v>8072.5</v>
      </c>
      <c r="L467" s="12">
        <f>SUM(L468:L470)</f>
        <v>7914.9000000000005</v>
      </c>
      <c r="M467" s="12">
        <f t="shared" si="61"/>
        <v>98.047692784143706</v>
      </c>
      <c r="N467" s="9"/>
    </row>
    <row r="468" spans="1:14" s="28" customFormat="1" ht="48.75" customHeight="1" x14ac:dyDescent="0.2">
      <c r="A468" s="84"/>
      <c r="B468" s="19" t="s">
        <v>54</v>
      </c>
      <c r="C468" s="62">
        <v>920</v>
      </c>
      <c r="D468" s="61" t="s">
        <v>5</v>
      </c>
      <c r="E468" s="8" t="s">
        <v>21</v>
      </c>
      <c r="F468" s="61" t="s">
        <v>41</v>
      </c>
      <c r="G468" s="62">
        <v>2</v>
      </c>
      <c r="H468" s="61" t="s">
        <v>2</v>
      </c>
      <c r="I468" s="61" t="s">
        <v>111</v>
      </c>
      <c r="J468" s="61" t="s">
        <v>55</v>
      </c>
      <c r="K468" s="12">
        <v>7381.3</v>
      </c>
      <c r="L468" s="12">
        <v>7381.3</v>
      </c>
      <c r="M468" s="12">
        <f t="shared" si="61"/>
        <v>100</v>
      </c>
      <c r="N468" s="9"/>
    </row>
    <row r="469" spans="1:14" s="28" customFormat="1" ht="31.5" x14ac:dyDescent="0.2">
      <c r="A469" s="84"/>
      <c r="B469" s="19" t="s">
        <v>164</v>
      </c>
      <c r="C469" s="62">
        <v>920</v>
      </c>
      <c r="D469" s="61" t="s">
        <v>5</v>
      </c>
      <c r="E469" s="8" t="s">
        <v>21</v>
      </c>
      <c r="F469" s="61" t="s">
        <v>41</v>
      </c>
      <c r="G469" s="62">
        <v>2</v>
      </c>
      <c r="H469" s="61" t="s">
        <v>2</v>
      </c>
      <c r="I469" s="61" t="s">
        <v>111</v>
      </c>
      <c r="J469" s="61" t="s">
        <v>57</v>
      </c>
      <c r="K469" s="12">
        <v>686.9</v>
      </c>
      <c r="L469" s="12">
        <v>529.29999999999995</v>
      </c>
      <c r="M469" s="12">
        <f t="shared" si="61"/>
        <v>77.056340078614056</v>
      </c>
      <c r="N469" s="9"/>
    </row>
    <row r="470" spans="1:14" s="28" customFormat="1" x14ac:dyDescent="0.2">
      <c r="A470" s="84"/>
      <c r="B470" s="19" t="s">
        <v>59</v>
      </c>
      <c r="C470" s="62">
        <v>920</v>
      </c>
      <c r="D470" s="61" t="s">
        <v>5</v>
      </c>
      <c r="E470" s="8" t="s">
        <v>21</v>
      </c>
      <c r="F470" s="61" t="s">
        <v>41</v>
      </c>
      <c r="G470" s="62">
        <v>2</v>
      </c>
      <c r="H470" s="61" t="s">
        <v>2</v>
      </c>
      <c r="I470" s="61" t="s">
        <v>111</v>
      </c>
      <c r="J470" s="61" t="s">
        <v>60</v>
      </c>
      <c r="K470" s="12">
        <v>4.3</v>
      </c>
      <c r="L470" s="12">
        <v>4.3</v>
      </c>
      <c r="M470" s="12">
        <f t="shared" si="61"/>
        <v>100</v>
      </c>
      <c r="N470" s="9"/>
    </row>
    <row r="471" spans="1:14" s="28" customFormat="1" ht="67.5" customHeight="1" x14ac:dyDescent="0.2">
      <c r="A471" s="84"/>
      <c r="B471" s="19" t="s">
        <v>292</v>
      </c>
      <c r="C471" s="62">
        <v>920</v>
      </c>
      <c r="D471" s="61" t="s">
        <v>5</v>
      </c>
      <c r="E471" s="8" t="s">
        <v>21</v>
      </c>
      <c r="F471" s="61" t="s">
        <v>41</v>
      </c>
      <c r="G471" s="62">
        <v>2</v>
      </c>
      <c r="H471" s="61" t="s">
        <v>2</v>
      </c>
      <c r="I471" s="61" t="s">
        <v>226</v>
      </c>
      <c r="J471" s="40" t="s">
        <v>557</v>
      </c>
      <c r="K471" s="12">
        <f>SUM(K472:K474)</f>
        <v>819.09999999999991</v>
      </c>
      <c r="L471" s="12">
        <f>SUM(L472:L474)</f>
        <v>819.09999999999991</v>
      </c>
      <c r="M471" s="12">
        <f t="shared" si="61"/>
        <v>100</v>
      </c>
      <c r="N471" s="9"/>
    </row>
    <row r="472" spans="1:14" s="28" customFormat="1" ht="50.25" customHeight="1" x14ac:dyDescent="0.2">
      <c r="A472" s="84"/>
      <c r="B472" s="19" t="s">
        <v>54</v>
      </c>
      <c r="C472" s="62">
        <v>920</v>
      </c>
      <c r="D472" s="61" t="s">
        <v>5</v>
      </c>
      <c r="E472" s="8" t="s">
        <v>21</v>
      </c>
      <c r="F472" s="61" t="s">
        <v>41</v>
      </c>
      <c r="G472" s="62">
        <v>2</v>
      </c>
      <c r="H472" s="61" t="s">
        <v>2</v>
      </c>
      <c r="I472" s="61" t="s">
        <v>226</v>
      </c>
      <c r="J472" s="61" t="s">
        <v>55</v>
      </c>
      <c r="K472" s="12">
        <f>648.3+94.4</f>
        <v>742.69999999999993</v>
      </c>
      <c r="L472" s="12">
        <f>648.3+94.4</f>
        <v>742.69999999999993</v>
      </c>
      <c r="M472" s="12">
        <f t="shared" si="61"/>
        <v>100</v>
      </c>
      <c r="N472" s="9"/>
    </row>
    <row r="473" spans="1:14" s="28" customFormat="1" ht="31.5" x14ac:dyDescent="0.2">
      <c r="A473" s="84"/>
      <c r="B473" s="19" t="s">
        <v>164</v>
      </c>
      <c r="C473" s="62">
        <v>920</v>
      </c>
      <c r="D473" s="61" t="s">
        <v>5</v>
      </c>
      <c r="E473" s="8" t="s">
        <v>21</v>
      </c>
      <c r="F473" s="61" t="s">
        <v>41</v>
      </c>
      <c r="G473" s="62">
        <v>2</v>
      </c>
      <c r="H473" s="61" t="s">
        <v>2</v>
      </c>
      <c r="I473" s="61" t="s">
        <v>226</v>
      </c>
      <c r="J473" s="61" t="s">
        <v>57</v>
      </c>
      <c r="K473" s="12">
        <v>75.3</v>
      </c>
      <c r="L473" s="12">
        <v>75.3</v>
      </c>
      <c r="M473" s="12">
        <f t="shared" si="61"/>
        <v>100</v>
      </c>
      <c r="N473" s="9"/>
    </row>
    <row r="474" spans="1:14" s="28" customFormat="1" x14ac:dyDescent="0.2">
      <c r="A474" s="84"/>
      <c r="B474" s="19" t="s">
        <v>59</v>
      </c>
      <c r="C474" s="62">
        <v>920</v>
      </c>
      <c r="D474" s="61" t="s">
        <v>5</v>
      </c>
      <c r="E474" s="8" t="s">
        <v>21</v>
      </c>
      <c r="F474" s="61" t="s">
        <v>41</v>
      </c>
      <c r="G474" s="62">
        <v>2</v>
      </c>
      <c r="H474" s="61" t="s">
        <v>2</v>
      </c>
      <c r="I474" s="61" t="s">
        <v>226</v>
      </c>
      <c r="J474" s="61" t="s">
        <v>60</v>
      </c>
      <c r="K474" s="12">
        <v>1.1000000000000001</v>
      </c>
      <c r="L474" s="12">
        <v>1.1000000000000001</v>
      </c>
      <c r="M474" s="12">
        <f t="shared" si="61"/>
        <v>100</v>
      </c>
      <c r="N474" s="9"/>
    </row>
    <row r="475" spans="1:14" s="28" customFormat="1" ht="31.5" x14ac:dyDescent="0.2">
      <c r="A475" s="84"/>
      <c r="B475" s="19" t="s">
        <v>317</v>
      </c>
      <c r="C475" s="62">
        <v>920</v>
      </c>
      <c r="D475" s="61" t="s">
        <v>5</v>
      </c>
      <c r="E475" s="8" t="s">
        <v>21</v>
      </c>
      <c r="F475" s="61" t="s">
        <v>41</v>
      </c>
      <c r="G475" s="62">
        <v>2</v>
      </c>
      <c r="H475" s="61" t="s">
        <v>4</v>
      </c>
      <c r="I475" s="5" t="s">
        <v>557</v>
      </c>
      <c r="J475" s="40" t="s">
        <v>557</v>
      </c>
      <c r="K475" s="12">
        <f>K476</f>
        <v>1895.5</v>
      </c>
      <c r="L475" s="12">
        <f>L476</f>
        <v>1895.4</v>
      </c>
      <c r="M475" s="12">
        <f t="shared" si="61"/>
        <v>99.994724347137961</v>
      </c>
      <c r="N475" s="9"/>
    </row>
    <row r="476" spans="1:14" s="28" customFormat="1" ht="78.75" x14ac:dyDescent="0.2">
      <c r="A476" s="84"/>
      <c r="B476" s="19" t="s">
        <v>447</v>
      </c>
      <c r="C476" s="62">
        <v>920</v>
      </c>
      <c r="D476" s="61" t="s">
        <v>5</v>
      </c>
      <c r="E476" s="8" t="s">
        <v>21</v>
      </c>
      <c r="F476" s="61" t="s">
        <v>41</v>
      </c>
      <c r="G476" s="62">
        <v>2</v>
      </c>
      <c r="H476" s="61" t="s">
        <v>4</v>
      </c>
      <c r="I476" s="61" t="s">
        <v>211</v>
      </c>
      <c r="J476" s="40" t="s">
        <v>557</v>
      </c>
      <c r="K476" s="12">
        <f>K477</f>
        <v>1895.5</v>
      </c>
      <c r="L476" s="12">
        <f>L477</f>
        <v>1895.4</v>
      </c>
      <c r="M476" s="12">
        <f t="shared" si="61"/>
        <v>99.994724347137961</v>
      </c>
      <c r="N476" s="9"/>
    </row>
    <row r="477" spans="1:14" s="28" customFormat="1" ht="18.75" customHeight="1" x14ac:dyDescent="0.2">
      <c r="A477" s="84"/>
      <c r="B477" s="19" t="s">
        <v>65</v>
      </c>
      <c r="C477" s="62">
        <v>920</v>
      </c>
      <c r="D477" s="61" t="s">
        <v>5</v>
      </c>
      <c r="E477" s="8" t="s">
        <v>21</v>
      </c>
      <c r="F477" s="61" t="s">
        <v>41</v>
      </c>
      <c r="G477" s="62">
        <v>2</v>
      </c>
      <c r="H477" s="61" t="s">
        <v>4</v>
      </c>
      <c r="I477" s="61" t="s">
        <v>211</v>
      </c>
      <c r="J477" s="61" t="s">
        <v>66</v>
      </c>
      <c r="K477" s="12">
        <v>1895.5</v>
      </c>
      <c r="L477" s="12">
        <v>1895.4</v>
      </c>
      <c r="M477" s="12">
        <f t="shared" si="61"/>
        <v>99.994724347137961</v>
      </c>
      <c r="N477" s="9"/>
    </row>
    <row r="478" spans="1:14" s="28" customFormat="1" x14ac:dyDescent="0.2">
      <c r="A478" s="84"/>
      <c r="B478" s="41" t="s">
        <v>254</v>
      </c>
      <c r="C478" s="62">
        <v>920</v>
      </c>
      <c r="D478" s="61" t="s">
        <v>5</v>
      </c>
      <c r="E478" s="8" t="s">
        <v>21</v>
      </c>
      <c r="F478" s="61" t="s">
        <v>41</v>
      </c>
      <c r="G478" s="62">
        <v>3</v>
      </c>
      <c r="H478" s="5" t="s">
        <v>557</v>
      </c>
      <c r="I478" s="5" t="s">
        <v>557</v>
      </c>
      <c r="J478" s="40" t="s">
        <v>557</v>
      </c>
      <c r="K478" s="12">
        <f t="shared" ref="K478:L478" si="64">SUM(K479)</f>
        <v>28516.1</v>
      </c>
      <c r="L478" s="12">
        <f t="shared" si="64"/>
        <v>28188.199999999997</v>
      </c>
      <c r="M478" s="12">
        <f t="shared" si="61"/>
        <v>98.850123263700155</v>
      </c>
      <c r="N478" s="9"/>
    </row>
    <row r="479" spans="1:14" s="28" customFormat="1" ht="110.25" x14ac:dyDescent="0.2">
      <c r="A479" s="84"/>
      <c r="B479" s="20" t="s">
        <v>140</v>
      </c>
      <c r="C479" s="62">
        <v>920</v>
      </c>
      <c r="D479" s="61" t="s">
        <v>5</v>
      </c>
      <c r="E479" s="8" t="s">
        <v>21</v>
      </c>
      <c r="F479" s="61" t="s">
        <v>41</v>
      </c>
      <c r="G479" s="62">
        <v>3</v>
      </c>
      <c r="H479" s="61" t="s">
        <v>2</v>
      </c>
      <c r="I479" s="5" t="s">
        <v>557</v>
      </c>
      <c r="J479" s="40" t="s">
        <v>557</v>
      </c>
      <c r="K479" s="12">
        <f>SUM(K480+K484+K488+K492)</f>
        <v>28516.1</v>
      </c>
      <c r="L479" s="12">
        <f>SUM(L480+L484+L488+L492)</f>
        <v>28188.199999999997</v>
      </c>
      <c r="M479" s="12">
        <f t="shared" si="61"/>
        <v>98.850123263700155</v>
      </c>
      <c r="N479" s="9"/>
    </row>
    <row r="480" spans="1:14" s="28" customFormat="1" ht="65.25" customHeight="1" x14ac:dyDescent="0.2">
      <c r="A480" s="84"/>
      <c r="B480" s="19" t="s">
        <v>84</v>
      </c>
      <c r="C480" s="62">
        <v>920</v>
      </c>
      <c r="D480" s="61" t="s">
        <v>5</v>
      </c>
      <c r="E480" s="8" t="s">
        <v>21</v>
      </c>
      <c r="F480" s="61" t="s">
        <v>41</v>
      </c>
      <c r="G480" s="62">
        <v>3</v>
      </c>
      <c r="H480" s="61" t="s">
        <v>2</v>
      </c>
      <c r="I480" s="61" t="s">
        <v>111</v>
      </c>
      <c r="J480" s="40" t="s">
        <v>557</v>
      </c>
      <c r="K480" s="12">
        <f>SUM(K481:K483)</f>
        <v>16746.099999999999</v>
      </c>
      <c r="L480" s="12">
        <f>SUM(L481:L483)</f>
        <v>16452.3</v>
      </c>
      <c r="M480" s="12">
        <f t="shared" si="61"/>
        <v>98.245561653161033</v>
      </c>
      <c r="N480" s="9"/>
    </row>
    <row r="481" spans="1:14" s="28" customFormat="1" ht="47.25" customHeight="1" x14ac:dyDescent="0.2">
      <c r="A481" s="84"/>
      <c r="B481" s="19" t="s">
        <v>54</v>
      </c>
      <c r="C481" s="62">
        <v>920</v>
      </c>
      <c r="D481" s="61" t="s">
        <v>5</v>
      </c>
      <c r="E481" s="8" t="s">
        <v>21</v>
      </c>
      <c r="F481" s="61" t="s">
        <v>41</v>
      </c>
      <c r="G481" s="62">
        <v>3</v>
      </c>
      <c r="H481" s="61" t="s">
        <v>2</v>
      </c>
      <c r="I481" s="61" t="s">
        <v>111</v>
      </c>
      <c r="J481" s="61" t="s">
        <v>55</v>
      </c>
      <c r="K481" s="12">
        <v>12463.7</v>
      </c>
      <c r="L481" s="12">
        <v>12463.7</v>
      </c>
      <c r="M481" s="12">
        <f t="shared" si="61"/>
        <v>100</v>
      </c>
      <c r="N481" s="9"/>
    </row>
    <row r="482" spans="1:14" s="28" customFormat="1" ht="31.5" x14ac:dyDescent="0.2">
      <c r="A482" s="84"/>
      <c r="B482" s="19" t="s">
        <v>164</v>
      </c>
      <c r="C482" s="62">
        <v>920</v>
      </c>
      <c r="D482" s="61" t="s">
        <v>5</v>
      </c>
      <c r="E482" s="8" t="s">
        <v>21</v>
      </c>
      <c r="F482" s="61" t="s">
        <v>41</v>
      </c>
      <c r="G482" s="62">
        <v>3</v>
      </c>
      <c r="H482" s="61" t="s">
        <v>2</v>
      </c>
      <c r="I482" s="61" t="s">
        <v>111</v>
      </c>
      <c r="J482" s="61" t="s">
        <v>57</v>
      </c>
      <c r="K482" s="12">
        <v>4274.8</v>
      </c>
      <c r="L482" s="12">
        <v>3981</v>
      </c>
      <c r="M482" s="12">
        <f t="shared" si="61"/>
        <v>93.127163843922517</v>
      </c>
      <c r="N482" s="9"/>
    </row>
    <row r="483" spans="1:14" s="28" customFormat="1" x14ac:dyDescent="0.2">
      <c r="A483" s="84"/>
      <c r="B483" s="19" t="s">
        <v>59</v>
      </c>
      <c r="C483" s="62">
        <v>920</v>
      </c>
      <c r="D483" s="61" t="s">
        <v>5</v>
      </c>
      <c r="E483" s="8" t="s">
        <v>21</v>
      </c>
      <c r="F483" s="61" t="s">
        <v>41</v>
      </c>
      <c r="G483" s="62">
        <v>3</v>
      </c>
      <c r="H483" s="61" t="s">
        <v>2</v>
      </c>
      <c r="I483" s="61" t="s">
        <v>111</v>
      </c>
      <c r="J483" s="61" t="s">
        <v>60</v>
      </c>
      <c r="K483" s="12">
        <v>7.6</v>
      </c>
      <c r="L483" s="12">
        <v>7.6</v>
      </c>
      <c r="M483" s="12">
        <f t="shared" si="61"/>
        <v>100</v>
      </c>
      <c r="N483" s="9"/>
    </row>
    <row r="484" spans="1:14" s="28" customFormat="1" ht="78.75" x14ac:dyDescent="0.2">
      <c r="A484" s="84"/>
      <c r="B484" s="19" t="s">
        <v>227</v>
      </c>
      <c r="C484" s="62">
        <v>920</v>
      </c>
      <c r="D484" s="61" t="s">
        <v>5</v>
      </c>
      <c r="E484" s="8" t="s">
        <v>21</v>
      </c>
      <c r="F484" s="61" t="s">
        <v>41</v>
      </c>
      <c r="G484" s="62">
        <v>3</v>
      </c>
      <c r="H484" s="61" t="s">
        <v>2</v>
      </c>
      <c r="I484" s="61" t="s">
        <v>228</v>
      </c>
      <c r="J484" s="40" t="s">
        <v>557</v>
      </c>
      <c r="K484" s="12">
        <f>SUM(K485:K487)</f>
        <v>7224.4000000000005</v>
      </c>
      <c r="L484" s="12">
        <f>SUM(L485:L487)</f>
        <v>7190.3000000000011</v>
      </c>
      <c r="M484" s="12">
        <f t="shared" si="61"/>
        <v>99.527988483472683</v>
      </c>
      <c r="N484" s="9"/>
    </row>
    <row r="485" spans="1:14" s="28" customFormat="1" ht="78.75" x14ac:dyDescent="0.2">
      <c r="A485" s="84"/>
      <c r="B485" s="19" t="s">
        <v>163</v>
      </c>
      <c r="C485" s="62">
        <v>920</v>
      </c>
      <c r="D485" s="61" t="s">
        <v>5</v>
      </c>
      <c r="E485" s="8" t="s">
        <v>21</v>
      </c>
      <c r="F485" s="61" t="s">
        <v>41</v>
      </c>
      <c r="G485" s="62">
        <v>3</v>
      </c>
      <c r="H485" s="61" t="s">
        <v>2</v>
      </c>
      <c r="I485" s="61" t="s">
        <v>228</v>
      </c>
      <c r="J485" s="61" t="s">
        <v>55</v>
      </c>
      <c r="K485" s="12">
        <v>5040.3</v>
      </c>
      <c r="L485" s="12">
        <v>5040.3</v>
      </c>
      <c r="M485" s="12">
        <f t="shared" si="61"/>
        <v>100</v>
      </c>
      <c r="N485" s="9"/>
    </row>
    <row r="486" spans="1:14" s="28" customFormat="1" ht="31.5" x14ac:dyDescent="0.2">
      <c r="A486" s="84"/>
      <c r="B486" s="19" t="s">
        <v>164</v>
      </c>
      <c r="C486" s="62">
        <v>920</v>
      </c>
      <c r="D486" s="61" t="s">
        <v>5</v>
      </c>
      <c r="E486" s="8" t="s">
        <v>21</v>
      </c>
      <c r="F486" s="61" t="s">
        <v>41</v>
      </c>
      <c r="G486" s="62">
        <v>3</v>
      </c>
      <c r="H486" s="61" t="s">
        <v>2</v>
      </c>
      <c r="I486" s="61" t="s">
        <v>228</v>
      </c>
      <c r="J486" s="61" t="s">
        <v>57</v>
      </c>
      <c r="K486" s="12">
        <v>2154.5</v>
      </c>
      <c r="L486" s="12">
        <v>2120.4</v>
      </c>
      <c r="M486" s="12">
        <f t="shared" si="61"/>
        <v>98.417266187050373</v>
      </c>
      <c r="N486" s="9"/>
    </row>
    <row r="487" spans="1:14" s="28" customFormat="1" x14ac:dyDescent="0.2">
      <c r="A487" s="84"/>
      <c r="B487" s="19" t="s">
        <v>59</v>
      </c>
      <c r="C487" s="62">
        <v>920</v>
      </c>
      <c r="D487" s="61" t="s">
        <v>5</v>
      </c>
      <c r="E487" s="8" t="s">
        <v>21</v>
      </c>
      <c r="F487" s="61" t="s">
        <v>41</v>
      </c>
      <c r="G487" s="62">
        <v>3</v>
      </c>
      <c r="H487" s="61" t="s">
        <v>2</v>
      </c>
      <c r="I487" s="61" t="s">
        <v>228</v>
      </c>
      <c r="J487" s="61" t="s">
        <v>60</v>
      </c>
      <c r="K487" s="12">
        <v>29.6</v>
      </c>
      <c r="L487" s="12">
        <v>29.6</v>
      </c>
      <c r="M487" s="12">
        <f t="shared" si="61"/>
        <v>100</v>
      </c>
      <c r="N487" s="9"/>
    </row>
    <row r="488" spans="1:14" s="28" customFormat="1" ht="78.75" x14ac:dyDescent="0.2">
      <c r="A488" s="84"/>
      <c r="B488" s="19" t="s">
        <v>294</v>
      </c>
      <c r="C488" s="62">
        <v>920</v>
      </c>
      <c r="D488" s="61" t="s">
        <v>5</v>
      </c>
      <c r="E488" s="8" t="s">
        <v>21</v>
      </c>
      <c r="F488" s="61" t="s">
        <v>41</v>
      </c>
      <c r="G488" s="62">
        <v>3</v>
      </c>
      <c r="H488" s="61" t="s">
        <v>2</v>
      </c>
      <c r="I488" s="61" t="s">
        <v>293</v>
      </c>
      <c r="J488" s="40" t="s">
        <v>557</v>
      </c>
      <c r="K488" s="12">
        <f>SUM(K489:K491)</f>
        <v>1248.8</v>
      </c>
      <c r="L488" s="12">
        <f>SUM(L489:L491)</f>
        <v>1248.8</v>
      </c>
      <c r="M488" s="12">
        <f t="shared" si="61"/>
        <v>100</v>
      </c>
      <c r="N488" s="9"/>
    </row>
    <row r="489" spans="1:14" s="28" customFormat="1" ht="50.25" customHeight="1" x14ac:dyDescent="0.2">
      <c r="A489" s="84"/>
      <c r="B489" s="19" t="s">
        <v>54</v>
      </c>
      <c r="C489" s="62">
        <v>920</v>
      </c>
      <c r="D489" s="61" t="s">
        <v>5</v>
      </c>
      <c r="E489" s="8" t="s">
        <v>21</v>
      </c>
      <c r="F489" s="61" t="s">
        <v>41</v>
      </c>
      <c r="G489" s="62">
        <v>3</v>
      </c>
      <c r="H489" s="61" t="s">
        <v>2</v>
      </c>
      <c r="I489" s="61" t="s">
        <v>293</v>
      </c>
      <c r="J489" s="61" t="s">
        <v>55</v>
      </c>
      <c r="K489" s="12">
        <v>1075.0999999999999</v>
      </c>
      <c r="L489" s="12">
        <v>1075.0999999999999</v>
      </c>
      <c r="M489" s="12">
        <f t="shared" si="61"/>
        <v>100</v>
      </c>
      <c r="N489" s="9"/>
    </row>
    <row r="490" spans="1:14" s="28" customFormat="1" ht="31.5" x14ac:dyDescent="0.2">
      <c r="A490" s="84"/>
      <c r="B490" s="19" t="s">
        <v>164</v>
      </c>
      <c r="C490" s="62">
        <v>920</v>
      </c>
      <c r="D490" s="61" t="s">
        <v>5</v>
      </c>
      <c r="E490" s="8" t="s">
        <v>21</v>
      </c>
      <c r="F490" s="61" t="s">
        <v>41</v>
      </c>
      <c r="G490" s="62">
        <v>3</v>
      </c>
      <c r="H490" s="61" t="s">
        <v>2</v>
      </c>
      <c r="I490" s="61" t="s">
        <v>293</v>
      </c>
      <c r="J490" s="61" t="s">
        <v>57</v>
      </c>
      <c r="K490" s="12">
        <v>172</v>
      </c>
      <c r="L490" s="12">
        <v>172</v>
      </c>
      <c r="M490" s="12">
        <f t="shared" si="61"/>
        <v>100</v>
      </c>
      <c r="N490" s="9"/>
    </row>
    <row r="491" spans="1:14" s="28" customFormat="1" x14ac:dyDescent="0.2">
      <c r="A491" s="84"/>
      <c r="B491" s="19" t="s">
        <v>59</v>
      </c>
      <c r="C491" s="62">
        <v>920</v>
      </c>
      <c r="D491" s="61" t="s">
        <v>5</v>
      </c>
      <c r="E491" s="8" t="s">
        <v>21</v>
      </c>
      <c r="F491" s="61" t="s">
        <v>41</v>
      </c>
      <c r="G491" s="62">
        <v>3</v>
      </c>
      <c r="H491" s="61" t="s">
        <v>2</v>
      </c>
      <c r="I491" s="61" t="s">
        <v>293</v>
      </c>
      <c r="J491" s="61" t="s">
        <v>60</v>
      </c>
      <c r="K491" s="12">
        <v>1.7</v>
      </c>
      <c r="L491" s="12">
        <v>1.7</v>
      </c>
      <c r="M491" s="12">
        <f t="shared" si="61"/>
        <v>100</v>
      </c>
      <c r="N491" s="9"/>
    </row>
    <row r="492" spans="1:14" s="28" customFormat="1" ht="81" customHeight="1" x14ac:dyDescent="0.2">
      <c r="A492" s="84"/>
      <c r="B492" s="19" t="s">
        <v>395</v>
      </c>
      <c r="C492" s="62">
        <v>920</v>
      </c>
      <c r="D492" s="61" t="s">
        <v>5</v>
      </c>
      <c r="E492" s="8" t="s">
        <v>21</v>
      </c>
      <c r="F492" s="61" t="s">
        <v>41</v>
      </c>
      <c r="G492" s="62">
        <v>3</v>
      </c>
      <c r="H492" s="61" t="s">
        <v>2</v>
      </c>
      <c r="I492" s="61" t="s">
        <v>396</v>
      </c>
      <c r="J492" s="40" t="s">
        <v>557</v>
      </c>
      <c r="K492" s="12">
        <f>SUM(K493:K494)</f>
        <v>3296.7999999999997</v>
      </c>
      <c r="L492" s="12">
        <f>SUM(L493:L494)</f>
        <v>3296.7999999999997</v>
      </c>
      <c r="M492" s="12">
        <f t="shared" si="61"/>
        <v>100</v>
      </c>
      <c r="N492" s="9"/>
    </row>
    <row r="493" spans="1:14" s="28" customFormat="1" ht="46.5" customHeight="1" x14ac:dyDescent="0.2">
      <c r="A493" s="84"/>
      <c r="B493" s="19" t="s">
        <v>54</v>
      </c>
      <c r="C493" s="62">
        <v>920</v>
      </c>
      <c r="D493" s="61" t="s">
        <v>5</v>
      </c>
      <c r="E493" s="8" t="s">
        <v>21</v>
      </c>
      <c r="F493" s="61" t="s">
        <v>41</v>
      </c>
      <c r="G493" s="62">
        <v>3</v>
      </c>
      <c r="H493" s="61" t="s">
        <v>2</v>
      </c>
      <c r="I493" s="61" t="s">
        <v>396</v>
      </c>
      <c r="J493" s="61" t="s">
        <v>55</v>
      </c>
      <c r="K493" s="12">
        <f>2937.7+263.5</f>
        <v>3201.2</v>
      </c>
      <c r="L493" s="12">
        <f>2937.7+263.5</f>
        <v>3201.2</v>
      </c>
      <c r="M493" s="12">
        <f t="shared" si="61"/>
        <v>100</v>
      </c>
      <c r="N493" s="9"/>
    </row>
    <row r="494" spans="1:14" s="28" customFormat="1" ht="31.5" x14ac:dyDescent="0.2">
      <c r="A494" s="84"/>
      <c r="B494" s="19" t="s">
        <v>164</v>
      </c>
      <c r="C494" s="62">
        <v>920</v>
      </c>
      <c r="D494" s="61" t="s">
        <v>5</v>
      </c>
      <c r="E494" s="8" t="s">
        <v>21</v>
      </c>
      <c r="F494" s="61" t="s">
        <v>41</v>
      </c>
      <c r="G494" s="62">
        <v>3</v>
      </c>
      <c r="H494" s="61" t="s">
        <v>2</v>
      </c>
      <c r="I494" s="61" t="s">
        <v>396</v>
      </c>
      <c r="J494" s="61" t="s">
        <v>57</v>
      </c>
      <c r="K494" s="12">
        <v>95.6</v>
      </c>
      <c r="L494" s="12">
        <v>95.6</v>
      </c>
      <c r="M494" s="12">
        <f t="shared" si="61"/>
        <v>100</v>
      </c>
      <c r="N494" s="9"/>
    </row>
    <row r="495" spans="1:14" s="28" customFormat="1" x14ac:dyDescent="0.2">
      <c r="A495" s="84"/>
      <c r="B495" s="19" t="s">
        <v>18</v>
      </c>
      <c r="C495" s="62">
        <v>920</v>
      </c>
      <c r="D495" s="8" t="s">
        <v>8</v>
      </c>
      <c r="E495" s="40" t="s">
        <v>557</v>
      </c>
      <c r="F495" s="5" t="s">
        <v>557</v>
      </c>
      <c r="G495" s="40" t="s">
        <v>557</v>
      </c>
      <c r="H495" s="5" t="s">
        <v>557</v>
      </c>
      <c r="I495" s="5" t="s">
        <v>557</v>
      </c>
      <c r="J495" s="40" t="s">
        <v>557</v>
      </c>
      <c r="K495" s="12">
        <f t="shared" ref="K495:L500" si="65">SUM(K496)</f>
        <v>20.9</v>
      </c>
      <c r="L495" s="12">
        <f t="shared" si="65"/>
        <v>0</v>
      </c>
      <c r="M495" s="12">
        <f t="shared" si="61"/>
        <v>0</v>
      </c>
      <c r="N495" s="9"/>
    </row>
    <row r="496" spans="1:14" s="28" customFormat="1" ht="31.5" x14ac:dyDescent="0.2">
      <c r="A496" s="84"/>
      <c r="B496" s="19" t="s">
        <v>375</v>
      </c>
      <c r="C496" s="62">
        <v>920</v>
      </c>
      <c r="D496" s="8" t="s">
        <v>8</v>
      </c>
      <c r="E496" s="8" t="s">
        <v>7</v>
      </c>
      <c r="F496" s="5" t="s">
        <v>557</v>
      </c>
      <c r="G496" s="40" t="s">
        <v>557</v>
      </c>
      <c r="H496" s="5" t="s">
        <v>557</v>
      </c>
      <c r="I496" s="5" t="s">
        <v>557</v>
      </c>
      <c r="J496" s="40" t="s">
        <v>557</v>
      </c>
      <c r="K496" s="12">
        <f t="shared" si="65"/>
        <v>20.9</v>
      </c>
      <c r="L496" s="12">
        <f t="shared" si="65"/>
        <v>0</v>
      </c>
      <c r="M496" s="12">
        <f t="shared" si="61"/>
        <v>0</v>
      </c>
      <c r="N496" s="9"/>
    </row>
    <row r="497" spans="1:14" s="28" customFormat="1" ht="47.25" x14ac:dyDescent="0.2">
      <c r="A497" s="84"/>
      <c r="B497" s="19" t="s">
        <v>196</v>
      </c>
      <c r="C497" s="62">
        <v>920</v>
      </c>
      <c r="D497" s="8" t="s">
        <v>8</v>
      </c>
      <c r="E497" s="8" t="s">
        <v>7</v>
      </c>
      <c r="F497" s="8" t="s">
        <v>41</v>
      </c>
      <c r="G497" s="40" t="s">
        <v>557</v>
      </c>
      <c r="H497" s="5" t="s">
        <v>557</v>
      </c>
      <c r="I497" s="5" t="s">
        <v>557</v>
      </c>
      <c r="J497" s="40" t="s">
        <v>557</v>
      </c>
      <c r="K497" s="12">
        <f t="shared" si="65"/>
        <v>20.9</v>
      </c>
      <c r="L497" s="12">
        <f t="shared" si="65"/>
        <v>0</v>
      </c>
      <c r="M497" s="12">
        <f t="shared" si="61"/>
        <v>0</v>
      </c>
      <c r="N497" s="9"/>
    </row>
    <row r="498" spans="1:14" s="28" customFormat="1" ht="49.5" customHeight="1" x14ac:dyDescent="0.2">
      <c r="A498" s="84"/>
      <c r="B498" s="41" t="s">
        <v>252</v>
      </c>
      <c r="C498" s="62">
        <v>920</v>
      </c>
      <c r="D498" s="8" t="s">
        <v>8</v>
      </c>
      <c r="E498" s="8" t="s">
        <v>7</v>
      </c>
      <c r="F498" s="8" t="s">
        <v>41</v>
      </c>
      <c r="G498" s="8" t="s">
        <v>116</v>
      </c>
      <c r="H498" s="5" t="s">
        <v>557</v>
      </c>
      <c r="I498" s="5" t="s">
        <v>557</v>
      </c>
      <c r="J498" s="40" t="s">
        <v>557</v>
      </c>
      <c r="K498" s="12">
        <f t="shared" si="65"/>
        <v>20.9</v>
      </c>
      <c r="L498" s="12">
        <f t="shared" si="65"/>
        <v>0</v>
      </c>
      <c r="M498" s="12">
        <f t="shared" si="61"/>
        <v>0</v>
      </c>
      <c r="N498" s="9"/>
    </row>
    <row r="499" spans="1:14" s="28" customFormat="1" ht="47.25" x14ac:dyDescent="0.2">
      <c r="A499" s="84"/>
      <c r="B499" s="19" t="s">
        <v>138</v>
      </c>
      <c r="C499" s="62">
        <v>920</v>
      </c>
      <c r="D499" s="8" t="s">
        <v>8</v>
      </c>
      <c r="E499" s="8" t="s">
        <v>7</v>
      </c>
      <c r="F499" s="8" t="s">
        <v>41</v>
      </c>
      <c r="G499" s="8" t="s">
        <v>116</v>
      </c>
      <c r="H499" s="8" t="s">
        <v>4</v>
      </c>
      <c r="I499" s="5" t="s">
        <v>557</v>
      </c>
      <c r="J499" s="40" t="s">
        <v>557</v>
      </c>
      <c r="K499" s="12">
        <f t="shared" si="65"/>
        <v>20.9</v>
      </c>
      <c r="L499" s="12">
        <f t="shared" si="65"/>
        <v>0</v>
      </c>
      <c r="M499" s="12">
        <f t="shared" si="61"/>
        <v>0</v>
      </c>
      <c r="N499" s="9"/>
    </row>
    <row r="500" spans="1:14" s="28" customFormat="1" ht="31.5" x14ac:dyDescent="0.2">
      <c r="A500" s="84"/>
      <c r="B500" s="19" t="s">
        <v>377</v>
      </c>
      <c r="C500" s="62">
        <v>920</v>
      </c>
      <c r="D500" s="8" t="s">
        <v>8</v>
      </c>
      <c r="E500" s="8" t="s">
        <v>7</v>
      </c>
      <c r="F500" s="8" t="s">
        <v>41</v>
      </c>
      <c r="G500" s="8" t="s">
        <v>116</v>
      </c>
      <c r="H500" s="8" t="s">
        <v>4</v>
      </c>
      <c r="I500" s="8" t="s">
        <v>376</v>
      </c>
      <c r="J500" s="40" t="s">
        <v>557</v>
      </c>
      <c r="K500" s="12">
        <f t="shared" si="65"/>
        <v>20.9</v>
      </c>
      <c r="L500" s="12">
        <f t="shared" si="65"/>
        <v>0</v>
      </c>
      <c r="M500" s="12">
        <f t="shared" si="61"/>
        <v>0</v>
      </c>
      <c r="N500" s="9"/>
    </row>
    <row r="501" spans="1:14" s="28" customFormat="1" ht="31.5" x14ac:dyDescent="0.2">
      <c r="A501" s="84"/>
      <c r="B501" s="19" t="s">
        <v>164</v>
      </c>
      <c r="C501" s="62">
        <v>920</v>
      </c>
      <c r="D501" s="8" t="s">
        <v>8</v>
      </c>
      <c r="E501" s="8" t="s">
        <v>7</v>
      </c>
      <c r="F501" s="8" t="s">
        <v>41</v>
      </c>
      <c r="G501" s="8" t="s">
        <v>116</v>
      </c>
      <c r="H501" s="8" t="s">
        <v>4</v>
      </c>
      <c r="I501" s="8" t="s">
        <v>376</v>
      </c>
      <c r="J501" s="61" t="s">
        <v>57</v>
      </c>
      <c r="K501" s="12">
        <v>20.9</v>
      </c>
      <c r="L501" s="12">
        <v>0</v>
      </c>
      <c r="M501" s="12">
        <f t="shared" si="61"/>
        <v>0</v>
      </c>
      <c r="N501" s="9"/>
    </row>
    <row r="502" spans="1:14" s="28" customFormat="1" ht="47.25" x14ac:dyDescent="0.2">
      <c r="A502" s="68">
        <v>7</v>
      </c>
      <c r="B502" s="19" t="s">
        <v>71</v>
      </c>
      <c r="C502" s="62">
        <v>921</v>
      </c>
      <c r="D502" s="40" t="s">
        <v>557</v>
      </c>
      <c r="E502" s="40" t="s">
        <v>557</v>
      </c>
      <c r="F502" s="5" t="s">
        <v>557</v>
      </c>
      <c r="G502" s="40" t="s">
        <v>557</v>
      </c>
      <c r="H502" s="5" t="s">
        <v>557</v>
      </c>
      <c r="I502" s="5" t="s">
        <v>557</v>
      </c>
      <c r="J502" s="40" t="s">
        <v>557</v>
      </c>
      <c r="K502" s="12">
        <f>SUM(K503+K528+K542+K535)</f>
        <v>149289.30000000002</v>
      </c>
      <c r="L502" s="12">
        <f>SUM(L503+L528+L542+L535)</f>
        <v>144286</v>
      </c>
      <c r="M502" s="12">
        <f t="shared" si="61"/>
        <v>96.648587675071141</v>
      </c>
      <c r="N502" s="9"/>
    </row>
    <row r="503" spans="1:14" s="28" customFormat="1" x14ac:dyDescent="0.2">
      <c r="A503" s="72"/>
      <c r="B503" s="19" t="s">
        <v>1</v>
      </c>
      <c r="C503" s="62">
        <v>921</v>
      </c>
      <c r="D503" s="61" t="s">
        <v>2</v>
      </c>
      <c r="E503" s="40" t="s">
        <v>557</v>
      </c>
      <c r="F503" s="5" t="s">
        <v>557</v>
      </c>
      <c r="G503" s="40" t="s">
        <v>557</v>
      </c>
      <c r="H503" s="5" t="s">
        <v>557</v>
      </c>
      <c r="I503" s="5" t="s">
        <v>557</v>
      </c>
      <c r="J503" s="40" t="s">
        <v>557</v>
      </c>
      <c r="K503" s="12">
        <f t="shared" ref="K503:L503" si="66">SUM(K504)</f>
        <v>43151.3</v>
      </c>
      <c r="L503" s="12">
        <f t="shared" si="66"/>
        <v>39855.100000000006</v>
      </c>
      <c r="M503" s="12">
        <f t="shared" si="61"/>
        <v>92.361296183429005</v>
      </c>
      <c r="N503" s="9"/>
    </row>
    <row r="504" spans="1:14" s="28" customFormat="1" x14ac:dyDescent="0.2">
      <c r="A504" s="72"/>
      <c r="B504" s="19" t="s">
        <v>9</v>
      </c>
      <c r="C504" s="62">
        <v>921</v>
      </c>
      <c r="D504" s="61" t="s">
        <v>2</v>
      </c>
      <c r="E504" s="61" t="s">
        <v>41</v>
      </c>
      <c r="F504" s="5" t="s">
        <v>557</v>
      </c>
      <c r="G504" s="40" t="s">
        <v>557</v>
      </c>
      <c r="H504" s="5" t="s">
        <v>557</v>
      </c>
      <c r="I504" s="5" t="s">
        <v>557</v>
      </c>
      <c r="J504" s="40" t="s">
        <v>557</v>
      </c>
      <c r="K504" s="12">
        <f>SUM(K505+K524)</f>
        <v>43151.3</v>
      </c>
      <c r="L504" s="12">
        <f>SUM(L505+L524)</f>
        <v>39855.100000000006</v>
      </c>
      <c r="M504" s="12">
        <f t="shared" si="61"/>
        <v>92.361296183429005</v>
      </c>
      <c r="N504" s="9"/>
    </row>
    <row r="505" spans="1:14" s="28" customFormat="1" ht="31.5" x14ac:dyDescent="0.2">
      <c r="A505" s="72"/>
      <c r="B505" s="41" t="s">
        <v>255</v>
      </c>
      <c r="C505" s="62">
        <v>921</v>
      </c>
      <c r="D505" s="61" t="s">
        <v>2</v>
      </c>
      <c r="E505" s="61" t="s">
        <v>41</v>
      </c>
      <c r="F505" s="61" t="s">
        <v>118</v>
      </c>
      <c r="G505" s="40" t="s">
        <v>557</v>
      </c>
      <c r="H505" s="5" t="s">
        <v>557</v>
      </c>
      <c r="I505" s="5" t="s">
        <v>557</v>
      </c>
      <c r="J505" s="40" t="s">
        <v>557</v>
      </c>
      <c r="K505" s="12">
        <f>K506+K520</f>
        <v>43119</v>
      </c>
      <c r="L505" s="12">
        <f>L506+L520</f>
        <v>39822.800000000003</v>
      </c>
      <c r="M505" s="12">
        <f t="shared" si="61"/>
        <v>92.355574108861532</v>
      </c>
      <c r="N505" s="9"/>
    </row>
    <row r="506" spans="1:14" s="28" customFormat="1" ht="63" x14ac:dyDescent="0.2">
      <c r="A506" s="72"/>
      <c r="B506" s="41" t="s">
        <v>119</v>
      </c>
      <c r="C506" s="62">
        <v>921</v>
      </c>
      <c r="D506" s="61" t="s">
        <v>2</v>
      </c>
      <c r="E506" s="61" t="s">
        <v>41</v>
      </c>
      <c r="F506" s="61" t="s">
        <v>118</v>
      </c>
      <c r="G506" s="62">
        <v>1</v>
      </c>
      <c r="H506" s="5" t="s">
        <v>557</v>
      </c>
      <c r="I506" s="5" t="s">
        <v>557</v>
      </c>
      <c r="J506" s="40" t="s">
        <v>557</v>
      </c>
      <c r="K506" s="12">
        <f>SUM(K507+K510+K516)</f>
        <v>43015.6</v>
      </c>
      <c r="L506" s="12">
        <f>SUM(L507+L510+L516)</f>
        <v>39719.4</v>
      </c>
      <c r="M506" s="12">
        <f t="shared" si="61"/>
        <v>92.337198597718043</v>
      </c>
      <c r="N506" s="9"/>
    </row>
    <row r="507" spans="1:14" s="28" customFormat="1" ht="47.25" x14ac:dyDescent="0.2">
      <c r="A507" s="72"/>
      <c r="B507" s="41" t="s">
        <v>256</v>
      </c>
      <c r="C507" s="62">
        <v>921</v>
      </c>
      <c r="D507" s="61" t="s">
        <v>2</v>
      </c>
      <c r="E507" s="61" t="s">
        <v>41</v>
      </c>
      <c r="F507" s="61" t="s">
        <v>118</v>
      </c>
      <c r="G507" s="62">
        <v>1</v>
      </c>
      <c r="H507" s="61" t="s">
        <v>2</v>
      </c>
      <c r="I507" s="5" t="s">
        <v>557</v>
      </c>
      <c r="J507" s="40" t="s">
        <v>557</v>
      </c>
      <c r="K507" s="12">
        <f>SUM(K508)</f>
        <v>17491.7</v>
      </c>
      <c r="L507" s="12">
        <f>SUM(L508)</f>
        <v>17491.7</v>
      </c>
      <c r="M507" s="12">
        <f t="shared" si="61"/>
        <v>100</v>
      </c>
      <c r="N507" s="9"/>
    </row>
    <row r="508" spans="1:14" s="28" customFormat="1" ht="62.25" customHeight="1" x14ac:dyDescent="0.2">
      <c r="A508" s="72"/>
      <c r="B508" s="41" t="s">
        <v>84</v>
      </c>
      <c r="C508" s="62">
        <v>921</v>
      </c>
      <c r="D508" s="61" t="s">
        <v>2</v>
      </c>
      <c r="E508" s="61" t="s">
        <v>41</v>
      </c>
      <c r="F508" s="61" t="s">
        <v>118</v>
      </c>
      <c r="G508" s="62">
        <v>1</v>
      </c>
      <c r="H508" s="61" t="s">
        <v>2</v>
      </c>
      <c r="I508" s="61" t="s">
        <v>111</v>
      </c>
      <c r="J508" s="40" t="s">
        <v>557</v>
      </c>
      <c r="K508" s="12">
        <f>SUM(K509:K509)</f>
        <v>17491.7</v>
      </c>
      <c r="L508" s="12">
        <f>SUM(L509:L509)</f>
        <v>17491.7</v>
      </c>
      <c r="M508" s="12">
        <f t="shared" si="61"/>
        <v>100</v>
      </c>
      <c r="N508" s="9"/>
    </row>
    <row r="509" spans="1:14" s="28" customFormat="1" ht="33" customHeight="1" x14ac:dyDescent="0.2">
      <c r="A509" s="72"/>
      <c r="B509" s="44" t="s">
        <v>72</v>
      </c>
      <c r="C509" s="62">
        <v>921</v>
      </c>
      <c r="D509" s="61" t="s">
        <v>2</v>
      </c>
      <c r="E509" s="61" t="s">
        <v>41</v>
      </c>
      <c r="F509" s="61" t="s">
        <v>118</v>
      </c>
      <c r="G509" s="62">
        <v>1</v>
      </c>
      <c r="H509" s="61" t="s">
        <v>2</v>
      </c>
      <c r="I509" s="61" t="s">
        <v>111</v>
      </c>
      <c r="J509" s="61" t="s">
        <v>73</v>
      </c>
      <c r="K509" s="12">
        <f>15239.9+1953.4-0.1+298.5</f>
        <v>17491.7</v>
      </c>
      <c r="L509" s="12">
        <f>15239.9+1953.4-0.1+298.5</f>
        <v>17491.7</v>
      </c>
      <c r="M509" s="12">
        <f t="shared" si="61"/>
        <v>100</v>
      </c>
      <c r="N509" s="9"/>
    </row>
    <row r="510" spans="1:14" s="28" customFormat="1" ht="48.75" customHeight="1" x14ac:dyDescent="0.2">
      <c r="A510" s="72"/>
      <c r="B510" s="41" t="s">
        <v>141</v>
      </c>
      <c r="C510" s="62">
        <v>921</v>
      </c>
      <c r="D510" s="61" t="s">
        <v>2</v>
      </c>
      <c r="E510" s="61" t="s">
        <v>41</v>
      </c>
      <c r="F510" s="61" t="s">
        <v>118</v>
      </c>
      <c r="G510" s="62">
        <v>1</v>
      </c>
      <c r="H510" s="61" t="s">
        <v>4</v>
      </c>
      <c r="I510" s="5" t="s">
        <v>557</v>
      </c>
      <c r="J510" s="40" t="s">
        <v>557</v>
      </c>
      <c r="K510" s="12">
        <f>SUM(K511+K514)</f>
        <v>9328.9</v>
      </c>
      <c r="L510" s="12">
        <f>SUM(L511+L514)</f>
        <v>9291.2999999999993</v>
      </c>
      <c r="M510" s="12">
        <f t="shared" ref="M510:M563" si="67">SUM(L510/K510*100)</f>
        <v>99.596951409062157</v>
      </c>
      <c r="N510" s="9"/>
    </row>
    <row r="511" spans="1:14" s="28" customFormat="1" ht="31.5" x14ac:dyDescent="0.2">
      <c r="A511" s="72"/>
      <c r="B511" s="19" t="s">
        <v>53</v>
      </c>
      <c r="C511" s="62">
        <v>921</v>
      </c>
      <c r="D511" s="61" t="s">
        <v>2</v>
      </c>
      <c r="E511" s="61" t="s">
        <v>41</v>
      </c>
      <c r="F511" s="61" t="s">
        <v>118</v>
      </c>
      <c r="G511" s="62">
        <v>1</v>
      </c>
      <c r="H511" s="61" t="s">
        <v>4</v>
      </c>
      <c r="I511" s="61" t="s">
        <v>99</v>
      </c>
      <c r="J511" s="40" t="s">
        <v>557</v>
      </c>
      <c r="K511" s="12">
        <f>SUM(K512:K513)</f>
        <v>9295.9</v>
      </c>
      <c r="L511" s="12">
        <f>SUM(L512:L513)</f>
        <v>9291.2999999999993</v>
      </c>
      <c r="M511" s="12">
        <f t="shared" si="67"/>
        <v>99.950515818801833</v>
      </c>
      <c r="N511" s="9"/>
    </row>
    <row r="512" spans="1:14" s="28" customFormat="1" ht="48" customHeight="1" x14ac:dyDescent="0.2">
      <c r="A512" s="72"/>
      <c r="B512" s="19" t="s">
        <v>54</v>
      </c>
      <c r="C512" s="62">
        <v>921</v>
      </c>
      <c r="D512" s="61" t="s">
        <v>2</v>
      </c>
      <c r="E512" s="61" t="s">
        <v>41</v>
      </c>
      <c r="F512" s="61" t="s">
        <v>118</v>
      </c>
      <c r="G512" s="62">
        <v>1</v>
      </c>
      <c r="H512" s="61" t="s">
        <v>4</v>
      </c>
      <c r="I512" s="61" t="s">
        <v>99</v>
      </c>
      <c r="J512" s="61" t="s">
        <v>55</v>
      </c>
      <c r="K512" s="12">
        <f>7872.7+1349.3+45.3</f>
        <v>9267.2999999999993</v>
      </c>
      <c r="L512" s="12">
        <f>7872.7+1349.3+45.3</f>
        <v>9267.2999999999993</v>
      </c>
      <c r="M512" s="12">
        <f t="shared" si="67"/>
        <v>100</v>
      </c>
      <c r="N512" s="9"/>
    </row>
    <row r="513" spans="1:14" s="28" customFormat="1" ht="31.5" x14ac:dyDescent="0.2">
      <c r="A513" s="72"/>
      <c r="B513" s="19" t="s">
        <v>164</v>
      </c>
      <c r="C513" s="62">
        <v>921</v>
      </c>
      <c r="D513" s="61" t="s">
        <v>2</v>
      </c>
      <c r="E513" s="61" t="s">
        <v>41</v>
      </c>
      <c r="F513" s="61" t="s">
        <v>118</v>
      </c>
      <c r="G513" s="62">
        <v>1</v>
      </c>
      <c r="H513" s="61" t="s">
        <v>4</v>
      </c>
      <c r="I513" s="61" t="s">
        <v>99</v>
      </c>
      <c r="J513" s="61" t="s">
        <v>57</v>
      </c>
      <c r="K513" s="12">
        <f>82.9-54.3</f>
        <v>28.600000000000009</v>
      </c>
      <c r="L513" s="12">
        <v>24</v>
      </c>
      <c r="M513" s="12">
        <f t="shared" si="67"/>
        <v>83.916083916083892</v>
      </c>
      <c r="N513" s="9"/>
    </row>
    <row r="514" spans="1:14" s="28" customFormat="1" ht="31.5" x14ac:dyDescent="0.2">
      <c r="A514" s="72"/>
      <c r="B514" s="19" t="s">
        <v>374</v>
      </c>
      <c r="C514" s="62">
        <v>921</v>
      </c>
      <c r="D514" s="8" t="s">
        <v>2</v>
      </c>
      <c r="E514" s="8" t="s">
        <v>41</v>
      </c>
      <c r="F514" s="8" t="s">
        <v>118</v>
      </c>
      <c r="G514" s="63">
        <v>1</v>
      </c>
      <c r="H514" s="8" t="s">
        <v>4</v>
      </c>
      <c r="I514" s="8" t="s">
        <v>373</v>
      </c>
      <c r="J514" s="40" t="s">
        <v>557</v>
      </c>
      <c r="K514" s="12">
        <f>SUM(K515)</f>
        <v>33</v>
      </c>
      <c r="L514" s="12">
        <f>SUM(L515)</f>
        <v>0</v>
      </c>
      <c r="M514" s="12">
        <f t="shared" si="67"/>
        <v>0</v>
      </c>
      <c r="N514" s="9"/>
    </row>
    <row r="515" spans="1:14" s="28" customFormat="1" ht="31.5" x14ac:dyDescent="0.2">
      <c r="A515" s="72"/>
      <c r="B515" s="19" t="s">
        <v>164</v>
      </c>
      <c r="C515" s="62">
        <v>921</v>
      </c>
      <c r="D515" s="8" t="s">
        <v>2</v>
      </c>
      <c r="E515" s="8" t="s">
        <v>41</v>
      </c>
      <c r="F515" s="8" t="s">
        <v>118</v>
      </c>
      <c r="G515" s="63">
        <v>1</v>
      </c>
      <c r="H515" s="8" t="s">
        <v>4</v>
      </c>
      <c r="I515" s="8" t="s">
        <v>373</v>
      </c>
      <c r="J515" s="8" t="s">
        <v>57</v>
      </c>
      <c r="K515" s="12">
        <f>24+9</f>
        <v>33</v>
      </c>
      <c r="L515" s="12">
        <v>0</v>
      </c>
      <c r="M515" s="12">
        <f t="shared" si="67"/>
        <v>0</v>
      </c>
      <c r="N515" s="9"/>
    </row>
    <row r="516" spans="1:14" s="28" customFormat="1" ht="31.5" x14ac:dyDescent="0.2">
      <c r="A516" s="72"/>
      <c r="B516" s="19" t="s">
        <v>203</v>
      </c>
      <c r="C516" s="62">
        <v>921</v>
      </c>
      <c r="D516" s="61" t="s">
        <v>2</v>
      </c>
      <c r="E516" s="61" t="s">
        <v>41</v>
      </c>
      <c r="F516" s="61" t="s">
        <v>118</v>
      </c>
      <c r="G516" s="62">
        <v>1</v>
      </c>
      <c r="H516" s="61" t="s">
        <v>5</v>
      </c>
      <c r="I516" s="5" t="s">
        <v>557</v>
      </c>
      <c r="J516" s="40" t="s">
        <v>557</v>
      </c>
      <c r="K516" s="12">
        <f t="shared" ref="K516:L516" si="68">SUM(K517)</f>
        <v>16195</v>
      </c>
      <c r="L516" s="12">
        <f t="shared" si="68"/>
        <v>12936.4</v>
      </c>
      <c r="M516" s="12">
        <f t="shared" si="67"/>
        <v>79.87897499228157</v>
      </c>
      <c r="N516" s="9"/>
    </row>
    <row r="517" spans="1:14" s="28" customFormat="1" ht="32.25" customHeight="1" x14ac:dyDescent="0.2">
      <c r="A517" s="72"/>
      <c r="B517" s="19" t="s">
        <v>257</v>
      </c>
      <c r="C517" s="62">
        <v>921</v>
      </c>
      <c r="D517" s="61" t="s">
        <v>2</v>
      </c>
      <c r="E517" s="61" t="s">
        <v>41</v>
      </c>
      <c r="F517" s="61" t="s">
        <v>118</v>
      </c>
      <c r="G517" s="62">
        <v>1</v>
      </c>
      <c r="H517" s="61" t="s">
        <v>5</v>
      </c>
      <c r="I517" s="61" t="s">
        <v>204</v>
      </c>
      <c r="J517" s="40" t="s">
        <v>557</v>
      </c>
      <c r="K517" s="12">
        <f>SUM(K518:K519)</f>
        <v>16195</v>
      </c>
      <c r="L517" s="12">
        <f>SUM(L518:L519)</f>
        <v>12936.4</v>
      </c>
      <c r="M517" s="12">
        <f t="shared" si="67"/>
        <v>79.87897499228157</v>
      </c>
      <c r="N517" s="9"/>
    </row>
    <row r="518" spans="1:14" s="28" customFormat="1" ht="31.5" x14ac:dyDescent="0.2">
      <c r="A518" s="72"/>
      <c r="B518" s="19" t="s">
        <v>164</v>
      </c>
      <c r="C518" s="62">
        <v>921</v>
      </c>
      <c r="D518" s="61" t="s">
        <v>2</v>
      </c>
      <c r="E518" s="61" t="s">
        <v>41</v>
      </c>
      <c r="F518" s="61" t="s">
        <v>118</v>
      </c>
      <c r="G518" s="62">
        <v>1</v>
      </c>
      <c r="H518" s="61" t="s">
        <v>5</v>
      </c>
      <c r="I518" s="61" t="s">
        <v>204</v>
      </c>
      <c r="J518" s="61" t="s">
        <v>57</v>
      </c>
      <c r="K518" s="12">
        <f>339.4+12+1120+176.3+385+60+60+508.3+566.4+429.7-16.8-20.3-12-298.5</f>
        <v>3309.4999999999995</v>
      </c>
      <c r="L518" s="12">
        <v>2471.4</v>
      </c>
      <c r="M518" s="12">
        <f t="shared" si="67"/>
        <v>74.675932920380745</v>
      </c>
      <c r="N518" s="9"/>
    </row>
    <row r="519" spans="1:14" s="28" customFormat="1" ht="31.5" customHeight="1" x14ac:dyDescent="0.2">
      <c r="A519" s="72"/>
      <c r="B519" s="19" t="s">
        <v>95</v>
      </c>
      <c r="C519" s="62">
        <v>921</v>
      </c>
      <c r="D519" s="61" t="s">
        <v>2</v>
      </c>
      <c r="E519" s="61" t="s">
        <v>41</v>
      </c>
      <c r="F519" s="61" t="s">
        <v>118</v>
      </c>
      <c r="G519" s="62">
        <v>1</v>
      </c>
      <c r="H519" s="61" t="s">
        <v>5</v>
      </c>
      <c r="I519" s="61" t="s">
        <v>204</v>
      </c>
      <c r="J519" s="61" t="s">
        <v>64</v>
      </c>
      <c r="K519" s="12">
        <f>4630+463.7+1725+6050+16.8</f>
        <v>12885.5</v>
      </c>
      <c r="L519" s="12">
        <v>10465</v>
      </c>
      <c r="M519" s="12">
        <f t="shared" si="67"/>
        <v>81.215319545225256</v>
      </c>
      <c r="N519" s="9"/>
    </row>
    <row r="520" spans="1:14" s="28" customFormat="1" ht="47.25" x14ac:dyDescent="0.2">
      <c r="A520" s="72"/>
      <c r="B520" s="41" t="s">
        <v>347</v>
      </c>
      <c r="C520" s="62">
        <v>921</v>
      </c>
      <c r="D520" s="61" t="s">
        <v>2</v>
      </c>
      <c r="E520" s="61" t="s">
        <v>41</v>
      </c>
      <c r="F520" s="8" t="s">
        <v>118</v>
      </c>
      <c r="G520" s="8" t="s">
        <v>189</v>
      </c>
      <c r="H520" s="5" t="s">
        <v>557</v>
      </c>
      <c r="I520" s="5" t="s">
        <v>557</v>
      </c>
      <c r="J520" s="40" t="s">
        <v>557</v>
      </c>
      <c r="K520" s="12">
        <f t="shared" ref="K520:L522" si="69">K521</f>
        <v>103.39999999999999</v>
      </c>
      <c r="L520" s="12">
        <f t="shared" si="69"/>
        <v>103.39999999999999</v>
      </c>
      <c r="M520" s="12">
        <f t="shared" si="67"/>
        <v>100</v>
      </c>
      <c r="N520" s="9"/>
    </row>
    <row r="521" spans="1:14" s="28" customFormat="1" ht="63" x14ac:dyDescent="0.2">
      <c r="A521" s="72"/>
      <c r="B521" s="41" t="s">
        <v>348</v>
      </c>
      <c r="C521" s="62">
        <v>921</v>
      </c>
      <c r="D521" s="61" t="s">
        <v>2</v>
      </c>
      <c r="E521" s="61" t="s">
        <v>41</v>
      </c>
      <c r="F521" s="8" t="s">
        <v>118</v>
      </c>
      <c r="G521" s="8" t="s">
        <v>189</v>
      </c>
      <c r="H521" s="8" t="s">
        <v>2</v>
      </c>
      <c r="I521" s="5" t="s">
        <v>557</v>
      </c>
      <c r="J521" s="40" t="s">
        <v>557</v>
      </c>
      <c r="K521" s="12">
        <f t="shared" si="69"/>
        <v>103.39999999999999</v>
      </c>
      <c r="L521" s="12">
        <f t="shared" si="69"/>
        <v>103.39999999999999</v>
      </c>
      <c r="M521" s="12">
        <f t="shared" si="67"/>
        <v>100</v>
      </c>
      <c r="N521" s="9"/>
    </row>
    <row r="522" spans="1:14" s="28" customFormat="1" ht="78.75" x14ac:dyDescent="0.2">
      <c r="A522" s="72"/>
      <c r="B522" s="19" t="s">
        <v>514</v>
      </c>
      <c r="C522" s="62">
        <v>921</v>
      </c>
      <c r="D522" s="61" t="s">
        <v>2</v>
      </c>
      <c r="E522" s="61" t="s">
        <v>41</v>
      </c>
      <c r="F522" s="8" t="s">
        <v>118</v>
      </c>
      <c r="G522" s="8" t="s">
        <v>189</v>
      </c>
      <c r="H522" s="8" t="s">
        <v>2</v>
      </c>
      <c r="I522" s="8" t="s">
        <v>460</v>
      </c>
      <c r="J522" s="40" t="s">
        <v>557</v>
      </c>
      <c r="K522" s="12">
        <f t="shared" si="69"/>
        <v>103.39999999999999</v>
      </c>
      <c r="L522" s="12">
        <f t="shared" si="69"/>
        <v>103.39999999999999</v>
      </c>
      <c r="M522" s="12">
        <f t="shared" si="67"/>
        <v>100</v>
      </c>
      <c r="N522" s="9"/>
    </row>
    <row r="523" spans="1:14" s="28" customFormat="1" ht="31.5" x14ac:dyDescent="0.2">
      <c r="A523" s="72"/>
      <c r="B523" s="19" t="s">
        <v>164</v>
      </c>
      <c r="C523" s="62">
        <v>921</v>
      </c>
      <c r="D523" s="61" t="s">
        <v>2</v>
      </c>
      <c r="E523" s="61" t="s">
        <v>41</v>
      </c>
      <c r="F523" s="8" t="s">
        <v>118</v>
      </c>
      <c r="G523" s="8" t="s">
        <v>189</v>
      </c>
      <c r="H523" s="8" t="s">
        <v>2</v>
      </c>
      <c r="I523" s="8" t="s">
        <v>460</v>
      </c>
      <c r="J523" s="8" t="s">
        <v>57</v>
      </c>
      <c r="K523" s="12">
        <f>86.1-1.4-0.1+18.8</f>
        <v>103.39999999999999</v>
      </c>
      <c r="L523" s="12">
        <f>86.1-1.4-0.1+18.8</f>
        <v>103.39999999999999</v>
      </c>
      <c r="M523" s="12">
        <f t="shared" si="67"/>
        <v>100</v>
      </c>
      <c r="N523" s="9"/>
    </row>
    <row r="524" spans="1:14" s="28" customFormat="1" ht="31.5" x14ac:dyDescent="0.2">
      <c r="A524" s="72"/>
      <c r="B524" s="19" t="s">
        <v>85</v>
      </c>
      <c r="C524" s="62">
        <v>921</v>
      </c>
      <c r="D524" s="8" t="s">
        <v>2</v>
      </c>
      <c r="E524" s="8" t="s">
        <v>41</v>
      </c>
      <c r="F524" s="8" t="s">
        <v>104</v>
      </c>
      <c r="G524" s="40" t="s">
        <v>557</v>
      </c>
      <c r="H524" s="5" t="s">
        <v>557</v>
      </c>
      <c r="I524" s="5" t="s">
        <v>557</v>
      </c>
      <c r="J524" s="40" t="s">
        <v>557</v>
      </c>
      <c r="K524" s="12">
        <f t="shared" ref="K524:L526" si="70">K525</f>
        <v>32.299999999999997</v>
      </c>
      <c r="L524" s="12">
        <f t="shared" si="70"/>
        <v>32.299999999999997</v>
      </c>
      <c r="M524" s="12">
        <f t="shared" si="67"/>
        <v>100</v>
      </c>
      <c r="N524" s="9"/>
    </row>
    <row r="525" spans="1:14" s="28" customFormat="1" ht="31.5" x14ac:dyDescent="0.2">
      <c r="A525" s="72"/>
      <c r="B525" s="19" t="s">
        <v>330</v>
      </c>
      <c r="C525" s="62">
        <v>921</v>
      </c>
      <c r="D525" s="8" t="s">
        <v>2</v>
      </c>
      <c r="E525" s="8" t="s">
        <v>41</v>
      </c>
      <c r="F525" s="8" t="s">
        <v>104</v>
      </c>
      <c r="G525" s="8" t="s">
        <v>123</v>
      </c>
      <c r="H525" s="5" t="s">
        <v>557</v>
      </c>
      <c r="I525" s="5" t="s">
        <v>557</v>
      </c>
      <c r="J525" s="40" t="s">
        <v>557</v>
      </c>
      <c r="K525" s="12">
        <f t="shared" si="70"/>
        <v>32.299999999999997</v>
      </c>
      <c r="L525" s="12">
        <f t="shared" si="70"/>
        <v>32.299999999999997</v>
      </c>
      <c r="M525" s="12">
        <f t="shared" si="67"/>
        <v>100</v>
      </c>
      <c r="N525" s="9"/>
    </row>
    <row r="526" spans="1:14" s="28" customFormat="1" ht="31.5" x14ac:dyDescent="0.2">
      <c r="A526" s="72"/>
      <c r="B526" s="19" t="s">
        <v>330</v>
      </c>
      <c r="C526" s="62">
        <v>921</v>
      </c>
      <c r="D526" s="8" t="s">
        <v>2</v>
      </c>
      <c r="E526" s="8" t="s">
        <v>41</v>
      </c>
      <c r="F526" s="8" t="s">
        <v>104</v>
      </c>
      <c r="G526" s="8" t="s">
        <v>123</v>
      </c>
      <c r="H526" s="8" t="s">
        <v>97</v>
      </c>
      <c r="I526" s="8" t="s">
        <v>329</v>
      </c>
      <c r="J526" s="40" t="s">
        <v>557</v>
      </c>
      <c r="K526" s="12">
        <f t="shared" si="70"/>
        <v>32.299999999999997</v>
      </c>
      <c r="L526" s="12">
        <f t="shared" si="70"/>
        <v>32.299999999999997</v>
      </c>
      <c r="M526" s="12">
        <f t="shared" si="67"/>
        <v>100</v>
      </c>
      <c r="N526" s="9"/>
    </row>
    <row r="527" spans="1:14" s="28" customFormat="1" x14ac:dyDescent="0.2">
      <c r="A527" s="72"/>
      <c r="B527" s="19" t="s">
        <v>59</v>
      </c>
      <c r="C527" s="62">
        <v>921</v>
      </c>
      <c r="D527" s="8" t="s">
        <v>2</v>
      </c>
      <c r="E527" s="8" t="s">
        <v>41</v>
      </c>
      <c r="F527" s="8" t="s">
        <v>104</v>
      </c>
      <c r="G527" s="8" t="s">
        <v>123</v>
      </c>
      <c r="H527" s="8" t="s">
        <v>97</v>
      </c>
      <c r="I527" s="8" t="s">
        <v>329</v>
      </c>
      <c r="J527" s="8" t="s">
        <v>60</v>
      </c>
      <c r="K527" s="12">
        <f>20.3+12</f>
        <v>32.299999999999997</v>
      </c>
      <c r="L527" s="12">
        <f>20.3+12</f>
        <v>32.299999999999997</v>
      </c>
      <c r="M527" s="12">
        <f t="shared" si="67"/>
        <v>100</v>
      </c>
      <c r="N527" s="9"/>
    </row>
    <row r="528" spans="1:14" s="28" customFormat="1" x14ac:dyDescent="0.2">
      <c r="A528" s="72"/>
      <c r="B528" s="19" t="s">
        <v>15</v>
      </c>
      <c r="C528" s="62">
        <v>921</v>
      </c>
      <c r="D528" s="61" t="s">
        <v>6</v>
      </c>
      <c r="E528" s="40" t="s">
        <v>557</v>
      </c>
      <c r="F528" s="5" t="s">
        <v>557</v>
      </c>
      <c r="G528" s="40" t="s">
        <v>557</v>
      </c>
      <c r="H528" s="5" t="s">
        <v>557</v>
      </c>
      <c r="I528" s="5" t="s">
        <v>557</v>
      </c>
      <c r="J528" s="40" t="s">
        <v>557</v>
      </c>
      <c r="K528" s="12">
        <f t="shared" ref="K528:L533" si="71">K529</f>
        <v>816.59999999999991</v>
      </c>
      <c r="L528" s="12">
        <f t="shared" si="71"/>
        <v>816.59999999999991</v>
      </c>
      <c r="M528" s="12">
        <f t="shared" si="67"/>
        <v>100</v>
      </c>
      <c r="N528" s="9"/>
    </row>
    <row r="529" spans="1:14" s="28" customFormat="1" ht="23.25" customHeight="1" x14ac:dyDescent="0.2">
      <c r="A529" s="72"/>
      <c r="B529" s="24" t="s">
        <v>87</v>
      </c>
      <c r="C529" s="62">
        <v>921</v>
      </c>
      <c r="D529" s="61" t="s">
        <v>6</v>
      </c>
      <c r="E529" s="61" t="s">
        <v>88</v>
      </c>
      <c r="F529" s="5" t="s">
        <v>557</v>
      </c>
      <c r="G529" s="40" t="s">
        <v>557</v>
      </c>
      <c r="H529" s="5" t="s">
        <v>557</v>
      </c>
      <c r="I529" s="5" t="s">
        <v>557</v>
      </c>
      <c r="J529" s="40" t="s">
        <v>557</v>
      </c>
      <c r="K529" s="12">
        <f t="shared" si="71"/>
        <v>816.59999999999991</v>
      </c>
      <c r="L529" s="12">
        <f t="shared" si="71"/>
        <v>816.59999999999991</v>
      </c>
      <c r="M529" s="12">
        <f t="shared" si="67"/>
        <v>100</v>
      </c>
      <c r="N529" s="9"/>
    </row>
    <row r="530" spans="1:14" s="28" customFormat="1" ht="31.5" x14ac:dyDescent="0.2">
      <c r="A530" s="72"/>
      <c r="B530" s="50" t="s">
        <v>255</v>
      </c>
      <c r="C530" s="62">
        <v>921</v>
      </c>
      <c r="D530" s="61" t="s">
        <v>6</v>
      </c>
      <c r="E530" s="61" t="s">
        <v>88</v>
      </c>
      <c r="F530" s="61" t="s">
        <v>118</v>
      </c>
      <c r="G530" s="40" t="s">
        <v>557</v>
      </c>
      <c r="H530" s="5" t="s">
        <v>557</v>
      </c>
      <c r="I530" s="5" t="s">
        <v>557</v>
      </c>
      <c r="J530" s="40" t="s">
        <v>557</v>
      </c>
      <c r="K530" s="12">
        <f t="shared" si="71"/>
        <v>816.59999999999991</v>
      </c>
      <c r="L530" s="12">
        <f t="shared" si="71"/>
        <v>816.59999999999991</v>
      </c>
      <c r="M530" s="12">
        <f t="shared" si="67"/>
        <v>100</v>
      </c>
      <c r="N530" s="9"/>
    </row>
    <row r="531" spans="1:14" s="28" customFormat="1" ht="63" x14ac:dyDescent="0.2">
      <c r="A531" s="72"/>
      <c r="B531" s="50" t="s">
        <v>119</v>
      </c>
      <c r="C531" s="62">
        <v>921</v>
      </c>
      <c r="D531" s="61" t="s">
        <v>6</v>
      </c>
      <c r="E531" s="61" t="s">
        <v>88</v>
      </c>
      <c r="F531" s="61" t="s">
        <v>118</v>
      </c>
      <c r="G531" s="62">
        <v>1</v>
      </c>
      <c r="H531" s="5" t="s">
        <v>557</v>
      </c>
      <c r="I531" s="5" t="s">
        <v>557</v>
      </c>
      <c r="J531" s="40" t="s">
        <v>557</v>
      </c>
      <c r="K531" s="12">
        <f t="shared" si="71"/>
        <v>816.59999999999991</v>
      </c>
      <c r="L531" s="12">
        <f t="shared" si="71"/>
        <v>816.59999999999991</v>
      </c>
      <c r="M531" s="12">
        <f t="shared" si="67"/>
        <v>100</v>
      </c>
      <c r="N531" s="9"/>
    </row>
    <row r="532" spans="1:14" s="28" customFormat="1" ht="31.5" customHeight="1" x14ac:dyDescent="0.2">
      <c r="A532" s="72"/>
      <c r="B532" s="24" t="s">
        <v>438</v>
      </c>
      <c r="C532" s="62">
        <v>921</v>
      </c>
      <c r="D532" s="61" t="s">
        <v>6</v>
      </c>
      <c r="E532" s="61" t="s">
        <v>88</v>
      </c>
      <c r="F532" s="8" t="s">
        <v>118</v>
      </c>
      <c r="G532" s="8" t="s">
        <v>116</v>
      </c>
      <c r="H532" s="8" t="s">
        <v>6</v>
      </c>
      <c r="I532" s="5" t="s">
        <v>557</v>
      </c>
      <c r="J532" s="40" t="s">
        <v>557</v>
      </c>
      <c r="K532" s="12">
        <f t="shared" si="71"/>
        <v>816.59999999999991</v>
      </c>
      <c r="L532" s="12">
        <f t="shared" si="71"/>
        <v>816.59999999999991</v>
      </c>
      <c r="M532" s="12">
        <f t="shared" si="67"/>
        <v>100</v>
      </c>
      <c r="N532" s="9"/>
    </row>
    <row r="533" spans="1:14" s="28" customFormat="1" x14ac:dyDescent="0.2">
      <c r="A533" s="72"/>
      <c r="B533" s="24" t="s">
        <v>456</v>
      </c>
      <c r="C533" s="62">
        <v>921</v>
      </c>
      <c r="D533" s="61" t="s">
        <v>6</v>
      </c>
      <c r="E533" s="61" t="s">
        <v>88</v>
      </c>
      <c r="F533" s="8" t="s">
        <v>118</v>
      </c>
      <c r="G533" s="8" t="s">
        <v>116</v>
      </c>
      <c r="H533" s="8" t="s">
        <v>6</v>
      </c>
      <c r="I533" s="8" t="s">
        <v>457</v>
      </c>
      <c r="J533" s="40" t="s">
        <v>557</v>
      </c>
      <c r="K533" s="12">
        <f t="shared" si="71"/>
        <v>816.59999999999991</v>
      </c>
      <c r="L533" s="12">
        <f t="shared" si="71"/>
        <v>816.59999999999991</v>
      </c>
      <c r="M533" s="12">
        <f t="shared" si="67"/>
        <v>100</v>
      </c>
      <c r="N533" s="9"/>
    </row>
    <row r="534" spans="1:14" s="28" customFormat="1" ht="31.5" x14ac:dyDescent="0.2">
      <c r="A534" s="72"/>
      <c r="B534" s="24" t="s">
        <v>164</v>
      </c>
      <c r="C534" s="62">
        <v>921</v>
      </c>
      <c r="D534" s="61" t="s">
        <v>6</v>
      </c>
      <c r="E534" s="61" t="s">
        <v>88</v>
      </c>
      <c r="F534" s="8" t="s">
        <v>118</v>
      </c>
      <c r="G534" s="8" t="s">
        <v>116</v>
      </c>
      <c r="H534" s="8" t="s">
        <v>6</v>
      </c>
      <c r="I534" s="8" t="s">
        <v>457</v>
      </c>
      <c r="J534" s="61" t="s">
        <v>57</v>
      </c>
      <c r="K534" s="12">
        <f>541.8+127.8+147</f>
        <v>816.59999999999991</v>
      </c>
      <c r="L534" s="12">
        <f>541.8+127.8+147</f>
        <v>816.59999999999991</v>
      </c>
      <c r="M534" s="12">
        <f t="shared" si="67"/>
        <v>100</v>
      </c>
      <c r="N534" s="9"/>
    </row>
    <row r="535" spans="1:14" s="28" customFormat="1" x14ac:dyDescent="0.2">
      <c r="A535" s="72"/>
      <c r="B535" s="19" t="s">
        <v>18</v>
      </c>
      <c r="C535" s="62">
        <v>921</v>
      </c>
      <c r="D535" s="8" t="s">
        <v>8</v>
      </c>
      <c r="E535" s="40" t="s">
        <v>557</v>
      </c>
      <c r="F535" s="5" t="s">
        <v>557</v>
      </c>
      <c r="G535" s="40" t="s">
        <v>557</v>
      </c>
      <c r="H535" s="5" t="s">
        <v>557</v>
      </c>
      <c r="I535" s="5" t="s">
        <v>557</v>
      </c>
      <c r="J535" s="40" t="s">
        <v>557</v>
      </c>
      <c r="K535" s="12">
        <f t="shared" ref="K535:L540" si="72">SUM(K536)</f>
        <v>21</v>
      </c>
      <c r="L535" s="12">
        <f t="shared" si="72"/>
        <v>0</v>
      </c>
      <c r="M535" s="12">
        <f t="shared" si="67"/>
        <v>0</v>
      </c>
      <c r="N535" s="9"/>
    </row>
    <row r="536" spans="1:14" s="28" customFormat="1" ht="31.5" x14ac:dyDescent="0.2">
      <c r="A536" s="72"/>
      <c r="B536" s="19" t="s">
        <v>375</v>
      </c>
      <c r="C536" s="62">
        <v>921</v>
      </c>
      <c r="D536" s="8" t="s">
        <v>8</v>
      </c>
      <c r="E536" s="8" t="s">
        <v>7</v>
      </c>
      <c r="F536" s="5" t="s">
        <v>557</v>
      </c>
      <c r="G536" s="40" t="s">
        <v>557</v>
      </c>
      <c r="H536" s="5" t="s">
        <v>557</v>
      </c>
      <c r="I536" s="5" t="s">
        <v>557</v>
      </c>
      <c r="J536" s="40" t="s">
        <v>557</v>
      </c>
      <c r="K536" s="12">
        <f t="shared" si="72"/>
        <v>21</v>
      </c>
      <c r="L536" s="12">
        <f t="shared" si="72"/>
        <v>0</v>
      </c>
      <c r="M536" s="12">
        <f t="shared" si="67"/>
        <v>0</v>
      </c>
      <c r="N536" s="9"/>
    </row>
    <row r="537" spans="1:14" s="28" customFormat="1" ht="31.5" x14ac:dyDescent="0.2">
      <c r="A537" s="72"/>
      <c r="B537" s="41" t="s">
        <v>255</v>
      </c>
      <c r="C537" s="62">
        <v>921</v>
      </c>
      <c r="D537" s="8" t="s">
        <v>8</v>
      </c>
      <c r="E537" s="8" t="s">
        <v>7</v>
      </c>
      <c r="F537" s="8" t="s">
        <v>118</v>
      </c>
      <c r="G537" s="40" t="s">
        <v>557</v>
      </c>
      <c r="H537" s="5" t="s">
        <v>557</v>
      </c>
      <c r="I537" s="5" t="s">
        <v>557</v>
      </c>
      <c r="J537" s="40" t="s">
        <v>557</v>
      </c>
      <c r="K537" s="12">
        <f t="shared" si="72"/>
        <v>21</v>
      </c>
      <c r="L537" s="12">
        <f t="shared" si="72"/>
        <v>0</v>
      </c>
      <c r="M537" s="12">
        <f t="shared" si="67"/>
        <v>0</v>
      </c>
      <c r="N537" s="9"/>
    </row>
    <row r="538" spans="1:14" s="28" customFormat="1" ht="63" x14ac:dyDescent="0.2">
      <c r="A538" s="72"/>
      <c r="B538" s="41" t="s">
        <v>119</v>
      </c>
      <c r="C538" s="62">
        <v>921</v>
      </c>
      <c r="D538" s="8" t="s">
        <v>8</v>
      </c>
      <c r="E538" s="8" t="s">
        <v>7</v>
      </c>
      <c r="F538" s="8" t="s">
        <v>118</v>
      </c>
      <c r="G538" s="63">
        <v>1</v>
      </c>
      <c r="H538" s="5" t="s">
        <v>557</v>
      </c>
      <c r="I538" s="5" t="s">
        <v>557</v>
      </c>
      <c r="J538" s="40" t="s">
        <v>557</v>
      </c>
      <c r="K538" s="12">
        <f t="shared" si="72"/>
        <v>21</v>
      </c>
      <c r="L538" s="12">
        <f t="shared" si="72"/>
        <v>0</v>
      </c>
      <c r="M538" s="12">
        <f t="shared" si="67"/>
        <v>0</v>
      </c>
      <c r="N538" s="9"/>
    </row>
    <row r="539" spans="1:14" s="28" customFormat="1" ht="45.75" customHeight="1" x14ac:dyDescent="0.2">
      <c r="A539" s="72"/>
      <c r="B539" s="41" t="s">
        <v>141</v>
      </c>
      <c r="C539" s="62">
        <v>921</v>
      </c>
      <c r="D539" s="8" t="s">
        <v>8</v>
      </c>
      <c r="E539" s="8" t="s">
        <v>7</v>
      </c>
      <c r="F539" s="8" t="s">
        <v>118</v>
      </c>
      <c r="G539" s="63">
        <v>1</v>
      </c>
      <c r="H539" s="8" t="s">
        <v>4</v>
      </c>
      <c r="I539" s="5" t="s">
        <v>557</v>
      </c>
      <c r="J539" s="40" t="s">
        <v>557</v>
      </c>
      <c r="K539" s="12">
        <f t="shared" si="72"/>
        <v>21</v>
      </c>
      <c r="L539" s="12">
        <f t="shared" si="72"/>
        <v>0</v>
      </c>
      <c r="M539" s="12">
        <f t="shared" si="67"/>
        <v>0</v>
      </c>
      <c r="N539" s="9"/>
    </row>
    <row r="540" spans="1:14" s="28" customFormat="1" ht="31.5" x14ac:dyDescent="0.2">
      <c r="A540" s="72"/>
      <c r="B540" s="19" t="s">
        <v>377</v>
      </c>
      <c r="C540" s="62">
        <v>921</v>
      </c>
      <c r="D540" s="8" t="s">
        <v>8</v>
      </c>
      <c r="E540" s="8" t="s">
        <v>7</v>
      </c>
      <c r="F540" s="8" t="s">
        <v>118</v>
      </c>
      <c r="G540" s="8" t="s">
        <v>116</v>
      </c>
      <c r="H540" s="8" t="s">
        <v>4</v>
      </c>
      <c r="I540" s="8" t="s">
        <v>376</v>
      </c>
      <c r="J540" s="40" t="s">
        <v>557</v>
      </c>
      <c r="K540" s="12">
        <f t="shared" si="72"/>
        <v>21</v>
      </c>
      <c r="L540" s="12">
        <f t="shared" si="72"/>
        <v>0</v>
      </c>
      <c r="M540" s="12">
        <f t="shared" si="67"/>
        <v>0</v>
      </c>
      <c r="N540" s="9"/>
    </row>
    <row r="541" spans="1:14" s="28" customFormat="1" ht="31.5" x14ac:dyDescent="0.2">
      <c r="A541" s="72"/>
      <c r="B541" s="19" t="s">
        <v>164</v>
      </c>
      <c r="C541" s="62">
        <v>921</v>
      </c>
      <c r="D541" s="8" t="s">
        <v>8</v>
      </c>
      <c r="E541" s="8" t="s">
        <v>7</v>
      </c>
      <c r="F541" s="8" t="s">
        <v>118</v>
      </c>
      <c r="G541" s="8" t="s">
        <v>116</v>
      </c>
      <c r="H541" s="8" t="s">
        <v>4</v>
      </c>
      <c r="I541" s="8" t="s">
        <v>376</v>
      </c>
      <c r="J541" s="61" t="s">
        <v>57</v>
      </c>
      <c r="K541" s="12">
        <v>21</v>
      </c>
      <c r="L541" s="12">
        <v>0</v>
      </c>
      <c r="M541" s="12">
        <f t="shared" si="67"/>
        <v>0</v>
      </c>
      <c r="N541" s="9"/>
    </row>
    <row r="542" spans="1:14" s="28" customFormat="1" x14ac:dyDescent="0.2">
      <c r="A542" s="72"/>
      <c r="B542" s="19" t="s">
        <v>20</v>
      </c>
      <c r="C542" s="62">
        <v>921</v>
      </c>
      <c r="D542" s="61" t="s">
        <v>21</v>
      </c>
      <c r="E542" s="40" t="s">
        <v>557</v>
      </c>
      <c r="F542" s="5" t="s">
        <v>557</v>
      </c>
      <c r="G542" s="40" t="s">
        <v>557</v>
      </c>
      <c r="H542" s="5" t="s">
        <v>557</v>
      </c>
      <c r="I542" s="5" t="s">
        <v>557</v>
      </c>
      <c r="J542" s="40" t="s">
        <v>557</v>
      </c>
      <c r="K542" s="12">
        <f t="shared" ref="K542:L545" si="73">SUM(K543)</f>
        <v>105300.40000000001</v>
      </c>
      <c r="L542" s="12">
        <f t="shared" si="73"/>
        <v>103614.3</v>
      </c>
      <c r="M542" s="12">
        <f t="shared" si="67"/>
        <v>98.398771514638113</v>
      </c>
      <c r="N542" s="9"/>
    </row>
    <row r="543" spans="1:14" s="28" customFormat="1" x14ac:dyDescent="0.2">
      <c r="A543" s="72"/>
      <c r="B543" s="19" t="s">
        <v>29</v>
      </c>
      <c r="C543" s="62">
        <v>921</v>
      </c>
      <c r="D543" s="61" t="s">
        <v>21</v>
      </c>
      <c r="E543" s="61" t="s">
        <v>6</v>
      </c>
      <c r="F543" s="5" t="s">
        <v>557</v>
      </c>
      <c r="G543" s="40" t="s">
        <v>557</v>
      </c>
      <c r="H543" s="5" t="s">
        <v>557</v>
      </c>
      <c r="I543" s="5" t="s">
        <v>557</v>
      </c>
      <c r="J543" s="40" t="s">
        <v>557</v>
      </c>
      <c r="K543" s="12">
        <f>SUM(K544)</f>
        <v>105300.40000000001</v>
      </c>
      <c r="L543" s="12">
        <f>SUM(L544)</f>
        <v>103614.3</v>
      </c>
      <c r="M543" s="12">
        <f t="shared" si="67"/>
        <v>98.398771514638113</v>
      </c>
      <c r="N543" s="9"/>
    </row>
    <row r="544" spans="1:14" s="28" customFormat="1" ht="31.5" x14ac:dyDescent="0.2">
      <c r="A544" s="72"/>
      <c r="B544" s="41" t="s">
        <v>255</v>
      </c>
      <c r="C544" s="62">
        <v>921</v>
      </c>
      <c r="D544" s="61" t="s">
        <v>21</v>
      </c>
      <c r="E544" s="61" t="s">
        <v>6</v>
      </c>
      <c r="F544" s="8" t="s">
        <v>118</v>
      </c>
      <c r="G544" s="40" t="s">
        <v>557</v>
      </c>
      <c r="H544" s="5" t="s">
        <v>557</v>
      </c>
      <c r="I544" s="5" t="s">
        <v>557</v>
      </c>
      <c r="J544" s="40" t="s">
        <v>557</v>
      </c>
      <c r="K544" s="12">
        <f>SUM(K545)</f>
        <v>105300.40000000001</v>
      </c>
      <c r="L544" s="12">
        <f>SUM(L545)</f>
        <v>103614.3</v>
      </c>
      <c r="M544" s="12">
        <f t="shared" si="67"/>
        <v>98.398771514638113</v>
      </c>
      <c r="N544" s="9"/>
    </row>
    <row r="545" spans="1:14" s="28" customFormat="1" ht="47.25" x14ac:dyDescent="0.2">
      <c r="A545" s="72"/>
      <c r="B545" s="41" t="s">
        <v>347</v>
      </c>
      <c r="C545" s="62">
        <v>921</v>
      </c>
      <c r="D545" s="61" t="s">
        <v>21</v>
      </c>
      <c r="E545" s="61" t="s">
        <v>6</v>
      </c>
      <c r="F545" s="8" t="s">
        <v>118</v>
      </c>
      <c r="G545" s="8" t="s">
        <v>189</v>
      </c>
      <c r="H545" s="5" t="s">
        <v>557</v>
      </c>
      <c r="I545" s="5" t="s">
        <v>557</v>
      </c>
      <c r="J545" s="40" t="s">
        <v>557</v>
      </c>
      <c r="K545" s="12">
        <f t="shared" si="73"/>
        <v>105300.40000000001</v>
      </c>
      <c r="L545" s="12">
        <f t="shared" si="73"/>
        <v>103614.3</v>
      </c>
      <c r="M545" s="12">
        <f t="shared" si="67"/>
        <v>98.398771514638113</v>
      </c>
      <c r="N545" s="9"/>
    </row>
    <row r="546" spans="1:14" s="28" customFormat="1" ht="63" x14ac:dyDescent="0.2">
      <c r="A546" s="72"/>
      <c r="B546" s="41" t="s">
        <v>348</v>
      </c>
      <c r="C546" s="62">
        <v>921</v>
      </c>
      <c r="D546" s="61" t="s">
        <v>21</v>
      </c>
      <c r="E546" s="61" t="s">
        <v>6</v>
      </c>
      <c r="F546" s="8" t="s">
        <v>118</v>
      </c>
      <c r="G546" s="8" t="s">
        <v>189</v>
      </c>
      <c r="H546" s="8" t="s">
        <v>2</v>
      </c>
      <c r="I546" s="5" t="s">
        <v>557</v>
      </c>
      <c r="J546" s="40" t="s">
        <v>557</v>
      </c>
      <c r="K546" s="12">
        <f>SUM(K547)</f>
        <v>105300.40000000001</v>
      </c>
      <c r="L546" s="12">
        <f>SUM(L547)</f>
        <v>103614.3</v>
      </c>
      <c r="M546" s="12">
        <f t="shared" si="67"/>
        <v>98.398771514638113</v>
      </c>
      <c r="N546" s="9"/>
    </row>
    <row r="547" spans="1:14" s="28" customFormat="1" ht="78.75" x14ac:dyDescent="0.2">
      <c r="A547" s="72"/>
      <c r="B547" s="19" t="s">
        <v>514</v>
      </c>
      <c r="C547" s="62">
        <v>921</v>
      </c>
      <c r="D547" s="61" t="s">
        <v>21</v>
      </c>
      <c r="E547" s="61" t="s">
        <v>6</v>
      </c>
      <c r="F547" s="8" t="s">
        <v>118</v>
      </c>
      <c r="G547" s="8" t="s">
        <v>189</v>
      </c>
      <c r="H547" s="8" t="s">
        <v>2</v>
      </c>
      <c r="I547" s="8" t="s">
        <v>460</v>
      </c>
      <c r="J547" s="40" t="s">
        <v>557</v>
      </c>
      <c r="K547" s="12">
        <f>SUM(K548:K548)</f>
        <v>105300.40000000001</v>
      </c>
      <c r="L547" s="12">
        <f>SUM(L548:L548)</f>
        <v>103614.3</v>
      </c>
      <c r="M547" s="12">
        <f t="shared" si="67"/>
        <v>98.398771514638113</v>
      </c>
      <c r="N547" s="9"/>
    </row>
    <row r="548" spans="1:14" s="28" customFormat="1" ht="31.5" customHeight="1" x14ac:dyDescent="0.2">
      <c r="A548" s="72"/>
      <c r="B548" s="19" t="s">
        <v>95</v>
      </c>
      <c r="C548" s="62">
        <v>921</v>
      </c>
      <c r="D548" s="61" t="s">
        <v>21</v>
      </c>
      <c r="E548" s="61" t="s">
        <v>6</v>
      </c>
      <c r="F548" s="8" t="s">
        <v>118</v>
      </c>
      <c r="G548" s="8" t="s">
        <v>189</v>
      </c>
      <c r="H548" s="8" t="s">
        <v>2</v>
      </c>
      <c r="I548" s="8" t="s">
        <v>460</v>
      </c>
      <c r="J548" s="8" t="s">
        <v>64</v>
      </c>
      <c r="K548" s="12">
        <f>88963.6-1469.2+0.1+19443.2-1637.3</f>
        <v>105300.40000000001</v>
      </c>
      <c r="L548" s="12">
        <v>103614.3</v>
      </c>
      <c r="M548" s="12">
        <f t="shared" si="67"/>
        <v>98.398771514638113</v>
      </c>
      <c r="N548" s="9"/>
    </row>
    <row r="549" spans="1:14" s="28" customFormat="1" ht="30.75" customHeight="1" x14ac:dyDescent="0.2">
      <c r="A549" s="68">
        <v>8</v>
      </c>
      <c r="B549" s="19" t="s">
        <v>200</v>
      </c>
      <c r="C549" s="62">
        <v>923</v>
      </c>
      <c r="D549" s="40" t="s">
        <v>557</v>
      </c>
      <c r="E549" s="40" t="s">
        <v>557</v>
      </c>
      <c r="F549" s="5" t="s">
        <v>557</v>
      </c>
      <c r="G549" s="40" t="s">
        <v>557</v>
      </c>
      <c r="H549" s="5" t="s">
        <v>557</v>
      </c>
      <c r="I549" s="5" t="s">
        <v>557</v>
      </c>
      <c r="J549" s="40" t="s">
        <v>557</v>
      </c>
      <c r="K549" s="12">
        <f>K550+K587+K594</f>
        <v>42245.599999999999</v>
      </c>
      <c r="L549" s="12">
        <f>L550+L587+L594</f>
        <v>41190.199999999997</v>
      </c>
      <c r="M549" s="12">
        <f t="shared" si="67"/>
        <v>97.501751661711509</v>
      </c>
      <c r="N549" s="9"/>
    </row>
    <row r="550" spans="1:14" s="28" customFormat="1" x14ac:dyDescent="0.2">
      <c r="A550" s="72"/>
      <c r="B550" s="19" t="s">
        <v>42</v>
      </c>
      <c r="C550" s="62">
        <v>923</v>
      </c>
      <c r="D550" s="61" t="s">
        <v>7</v>
      </c>
      <c r="E550" s="40" t="s">
        <v>557</v>
      </c>
      <c r="F550" s="5" t="s">
        <v>557</v>
      </c>
      <c r="G550" s="40" t="s">
        <v>557</v>
      </c>
      <c r="H550" s="5" t="s">
        <v>557</v>
      </c>
      <c r="I550" s="5" t="s">
        <v>557</v>
      </c>
      <c r="J550" s="40" t="s">
        <v>557</v>
      </c>
      <c r="K550" s="12">
        <f>K551+K559</f>
        <v>16380.999999999998</v>
      </c>
      <c r="L550" s="12">
        <f>L551+L559</f>
        <v>15325.599999999999</v>
      </c>
      <c r="M550" s="12">
        <f t="shared" si="67"/>
        <v>93.557169891947993</v>
      </c>
      <c r="N550" s="9"/>
    </row>
    <row r="551" spans="1:14" s="28" customFormat="1" x14ac:dyDescent="0.2">
      <c r="A551" s="72"/>
      <c r="B551" s="24" t="s">
        <v>409</v>
      </c>
      <c r="C551" s="62">
        <v>923</v>
      </c>
      <c r="D551" s="61" t="s">
        <v>7</v>
      </c>
      <c r="E551" s="61" t="s">
        <v>4</v>
      </c>
      <c r="F551" s="5" t="s">
        <v>557</v>
      </c>
      <c r="G551" s="40" t="s">
        <v>557</v>
      </c>
      <c r="H551" s="5" t="s">
        <v>557</v>
      </c>
      <c r="I551" s="5" t="s">
        <v>557</v>
      </c>
      <c r="J551" s="40" t="s">
        <v>557</v>
      </c>
      <c r="K551" s="12">
        <f t="shared" ref="K551:L553" si="74">K552</f>
        <v>1055.3999999999999</v>
      </c>
      <c r="L551" s="12">
        <f t="shared" si="74"/>
        <v>108</v>
      </c>
      <c r="M551" s="12">
        <f t="shared" si="67"/>
        <v>10.233086981239342</v>
      </c>
      <c r="N551" s="9"/>
    </row>
    <row r="552" spans="1:14" s="28" customFormat="1" ht="47.25" x14ac:dyDescent="0.2">
      <c r="A552" s="72"/>
      <c r="B552" s="24" t="s">
        <v>439</v>
      </c>
      <c r="C552" s="62">
        <v>923</v>
      </c>
      <c r="D552" s="61" t="s">
        <v>7</v>
      </c>
      <c r="E552" s="61" t="s">
        <v>4</v>
      </c>
      <c r="F552" s="8" t="s">
        <v>30</v>
      </c>
      <c r="G552" s="40" t="s">
        <v>557</v>
      </c>
      <c r="H552" s="5" t="s">
        <v>557</v>
      </c>
      <c r="I552" s="5" t="s">
        <v>557</v>
      </c>
      <c r="J552" s="40" t="s">
        <v>557</v>
      </c>
      <c r="K552" s="12">
        <f t="shared" si="74"/>
        <v>1055.3999999999999</v>
      </c>
      <c r="L552" s="12">
        <f t="shared" si="74"/>
        <v>108</v>
      </c>
      <c r="M552" s="12">
        <f t="shared" si="67"/>
        <v>10.233086981239342</v>
      </c>
      <c r="N552" s="9"/>
    </row>
    <row r="553" spans="1:14" s="28" customFormat="1" ht="48" customHeight="1" x14ac:dyDescent="0.2">
      <c r="A553" s="72"/>
      <c r="B553" s="24" t="s">
        <v>258</v>
      </c>
      <c r="C553" s="62">
        <v>923</v>
      </c>
      <c r="D553" s="61" t="s">
        <v>7</v>
      </c>
      <c r="E553" s="61" t="s">
        <v>4</v>
      </c>
      <c r="F553" s="8" t="s">
        <v>30</v>
      </c>
      <c r="G553" s="8" t="s">
        <v>116</v>
      </c>
      <c r="H553" s="5" t="s">
        <v>557</v>
      </c>
      <c r="I553" s="5" t="s">
        <v>557</v>
      </c>
      <c r="J553" s="40" t="s">
        <v>557</v>
      </c>
      <c r="K553" s="12">
        <f t="shared" si="74"/>
        <v>1055.3999999999999</v>
      </c>
      <c r="L553" s="12">
        <f t="shared" si="74"/>
        <v>108</v>
      </c>
      <c r="M553" s="12">
        <f t="shared" si="67"/>
        <v>10.233086981239342</v>
      </c>
      <c r="N553" s="9"/>
    </row>
    <row r="554" spans="1:14" s="28" customFormat="1" ht="48" customHeight="1" x14ac:dyDescent="0.2">
      <c r="A554" s="72"/>
      <c r="B554" s="50" t="s">
        <v>102</v>
      </c>
      <c r="C554" s="62">
        <v>923</v>
      </c>
      <c r="D554" s="61" t="s">
        <v>7</v>
      </c>
      <c r="E554" s="61" t="s">
        <v>4</v>
      </c>
      <c r="F554" s="8" t="s">
        <v>30</v>
      </c>
      <c r="G554" s="63">
        <v>1</v>
      </c>
      <c r="H554" s="8" t="s">
        <v>2</v>
      </c>
      <c r="I554" s="5" t="s">
        <v>557</v>
      </c>
      <c r="J554" s="40" t="s">
        <v>557</v>
      </c>
      <c r="K554" s="12">
        <f>SUM(K555+K557)</f>
        <v>1055.3999999999999</v>
      </c>
      <c r="L554" s="12">
        <f>SUM(L555+L557)</f>
        <v>108</v>
      </c>
      <c r="M554" s="12">
        <f t="shared" si="67"/>
        <v>10.233086981239342</v>
      </c>
      <c r="N554" s="9"/>
    </row>
    <row r="555" spans="1:14" s="28" customFormat="1" ht="47.25" x14ac:dyDescent="0.2">
      <c r="A555" s="72"/>
      <c r="B555" s="24" t="s">
        <v>535</v>
      </c>
      <c r="C555" s="62">
        <v>923</v>
      </c>
      <c r="D555" s="61" t="s">
        <v>7</v>
      </c>
      <c r="E555" s="61" t="s">
        <v>4</v>
      </c>
      <c r="F555" s="8" t="s">
        <v>30</v>
      </c>
      <c r="G555" s="63">
        <v>1</v>
      </c>
      <c r="H555" s="8" t="s">
        <v>2</v>
      </c>
      <c r="I555" s="8" t="s">
        <v>536</v>
      </c>
      <c r="J555" s="40" t="s">
        <v>557</v>
      </c>
      <c r="K555" s="12">
        <f>K556</f>
        <v>122.6</v>
      </c>
      <c r="L555" s="12">
        <f>L556</f>
        <v>108</v>
      </c>
      <c r="M555" s="12">
        <f t="shared" si="67"/>
        <v>88.091353996737368</v>
      </c>
      <c r="N555" s="9"/>
    </row>
    <row r="556" spans="1:14" s="28" customFormat="1" ht="31.5" x14ac:dyDescent="0.2">
      <c r="A556" s="72"/>
      <c r="B556" s="24" t="s">
        <v>164</v>
      </c>
      <c r="C556" s="62">
        <v>923</v>
      </c>
      <c r="D556" s="61" t="s">
        <v>7</v>
      </c>
      <c r="E556" s="61" t="s">
        <v>4</v>
      </c>
      <c r="F556" s="8" t="s">
        <v>30</v>
      </c>
      <c r="G556" s="63">
        <v>1</v>
      </c>
      <c r="H556" s="8" t="s">
        <v>2</v>
      </c>
      <c r="I556" s="8" t="s">
        <v>536</v>
      </c>
      <c r="J556" s="61" t="s">
        <v>57</v>
      </c>
      <c r="K556" s="12">
        <v>122.6</v>
      </c>
      <c r="L556" s="12">
        <v>108</v>
      </c>
      <c r="M556" s="12">
        <f t="shared" si="67"/>
        <v>88.091353996737368</v>
      </c>
      <c r="N556" s="9"/>
    </row>
    <row r="557" spans="1:14" s="28" customFormat="1" ht="31.5" x14ac:dyDescent="0.2">
      <c r="A557" s="72"/>
      <c r="B557" s="24" t="s">
        <v>538</v>
      </c>
      <c r="C557" s="62">
        <v>923</v>
      </c>
      <c r="D557" s="61" t="s">
        <v>7</v>
      </c>
      <c r="E557" s="61" t="s">
        <v>4</v>
      </c>
      <c r="F557" s="8" t="s">
        <v>30</v>
      </c>
      <c r="G557" s="63">
        <v>1</v>
      </c>
      <c r="H557" s="8" t="s">
        <v>2</v>
      </c>
      <c r="I557" s="8" t="s">
        <v>537</v>
      </c>
      <c r="J557" s="40" t="s">
        <v>557</v>
      </c>
      <c r="K557" s="12">
        <f>K558</f>
        <v>932.8</v>
      </c>
      <c r="L557" s="12">
        <f>L558</f>
        <v>0</v>
      </c>
      <c r="M557" s="12">
        <f t="shared" si="67"/>
        <v>0</v>
      </c>
      <c r="N557" s="9"/>
    </row>
    <row r="558" spans="1:14" s="28" customFormat="1" ht="31.5" x14ac:dyDescent="0.2">
      <c r="A558" s="72"/>
      <c r="B558" s="24" t="s">
        <v>164</v>
      </c>
      <c r="C558" s="62">
        <v>923</v>
      </c>
      <c r="D558" s="61" t="s">
        <v>7</v>
      </c>
      <c r="E558" s="61" t="s">
        <v>4</v>
      </c>
      <c r="F558" s="8" t="s">
        <v>30</v>
      </c>
      <c r="G558" s="63">
        <v>1</v>
      </c>
      <c r="H558" s="8" t="s">
        <v>2</v>
      </c>
      <c r="I558" s="8" t="s">
        <v>537</v>
      </c>
      <c r="J558" s="61" t="s">
        <v>57</v>
      </c>
      <c r="K558" s="12">
        <v>932.8</v>
      </c>
      <c r="L558" s="12">
        <v>0</v>
      </c>
      <c r="M558" s="12">
        <f t="shared" si="67"/>
        <v>0</v>
      </c>
      <c r="N558" s="9"/>
    </row>
    <row r="559" spans="1:14" s="28" customFormat="1" ht="31.5" x14ac:dyDescent="0.2">
      <c r="A559" s="72"/>
      <c r="B559" s="19" t="s">
        <v>201</v>
      </c>
      <c r="C559" s="62">
        <v>923</v>
      </c>
      <c r="D559" s="61" t="s">
        <v>7</v>
      </c>
      <c r="E559" s="61" t="s">
        <v>7</v>
      </c>
      <c r="F559" s="5" t="s">
        <v>557</v>
      </c>
      <c r="G559" s="40" t="s">
        <v>557</v>
      </c>
      <c r="H559" s="5" t="s">
        <v>557</v>
      </c>
      <c r="I559" s="5" t="s">
        <v>557</v>
      </c>
      <c r="J559" s="40" t="s">
        <v>557</v>
      </c>
      <c r="K559" s="12">
        <f>K560</f>
        <v>15325.599999999999</v>
      </c>
      <c r="L559" s="12">
        <f>L560</f>
        <v>15217.599999999999</v>
      </c>
      <c r="M559" s="12">
        <f t="shared" si="67"/>
        <v>99.295296758365097</v>
      </c>
      <c r="N559" s="9"/>
    </row>
    <row r="560" spans="1:14" s="28" customFormat="1" ht="47.25" x14ac:dyDescent="0.2">
      <c r="A560" s="72"/>
      <c r="B560" s="41" t="s">
        <v>230</v>
      </c>
      <c r="C560" s="62">
        <v>923</v>
      </c>
      <c r="D560" s="61" t="s">
        <v>7</v>
      </c>
      <c r="E560" s="61" t="s">
        <v>7</v>
      </c>
      <c r="F560" s="8" t="s">
        <v>30</v>
      </c>
      <c r="G560" s="40" t="s">
        <v>557</v>
      </c>
      <c r="H560" s="5" t="s">
        <v>557</v>
      </c>
      <c r="I560" s="5" t="s">
        <v>557</v>
      </c>
      <c r="J560" s="40" t="s">
        <v>557</v>
      </c>
      <c r="K560" s="12">
        <f t="shared" ref="K560:L560" si="75">K561</f>
        <v>15325.599999999999</v>
      </c>
      <c r="L560" s="12">
        <f t="shared" si="75"/>
        <v>15217.599999999999</v>
      </c>
      <c r="M560" s="12">
        <f t="shared" si="67"/>
        <v>99.295296758365097</v>
      </c>
      <c r="N560" s="9"/>
    </row>
    <row r="561" spans="1:14" s="28" customFormat="1" ht="48.75" customHeight="1" x14ac:dyDescent="0.2">
      <c r="A561" s="72"/>
      <c r="B561" s="19" t="s">
        <v>258</v>
      </c>
      <c r="C561" s="62">
        <v>923</v>
      </c>
      <c r="D561" s="61" t="s">
        <v>7</v>
      </c>
      <c r="E561" s="61" t="s">
        <v>7</v>
      </c>
      <c r="F561" s="8" t="s">
        <v>30</v>
      </c>
      <c r="G561" s="8" t="s">
        <v>116</v>
      </c>
      <c r="H561" s="5" t="s">
        <v>557</v>
      </c>
      <c r="I561" s="5" t="s">
        <v>557</v>
      </c>
      <c r="J561" s="40" t="s">
        <v>557</v>
      </c>
      <c r="K561" s="12">
        <f>K573+K562+K584</f>
        <v>15325.599999999999</v>
      </c>
      <c r="L561" s="12">
        <f>L573+L562+L584</f>
        <v>15217.599999999999</v>
      </c>
      <c r="M561" s="12">
        <f t="shared" si="67"/>
        <v>99.295296758365097</v>
      </c>
      <c r="N561" s="9"/>
    </row>
    <row r="562" spans="1:14" s="28" customFormat="1" ht="46.5" customHeight="1" x14ac:dyDescent="0.2">
      <c r="A562" s="72"/>
      <c r="B562" s="41" t="s">
        <v>102</v>
      </c>
      <c r="C562" s="62">
        <v>923</v>
      </c>
      <c r="D562" s="61" t="s">
        <v>7</v>
      </c>
      <c r="E562" s="61" t="s">
        <v>7</v>
      </c>
      <c r="F562" s="8" t="s">
        <v>30</v>
      </c>
      <c r="G562" s="63">
        <v>1</v>
      </c>
      <c r="H562" s="8" t="s">
        <v>2</v>
      </c>
      <c r="I562" s="5" t="s">
        <v>557</v>
      </c>
      <c r="J562" s="40" t="s">
        <v>557</v>
      </c>
      <c r="K562" s="12">
        <f>SUM(K567+K565+K570+K563)</f>
        <v>2471.6</v>
      </c>
      <c r="L562" s="12">
        <f>SUM(L567+L565+L570+L563)</f>
        <v>2364.4</v>
      </c>
      <c r="M562" s="12">
        <f t="shared" si="67"/>
        <v>95.662728596860333</v>
      </c>
      <c r="N562" s="9"/>
    </row>
    <row r="563" spans="1:14" s="28" customFormat="1" ht="159" customHeight="1" x14ac:dyDescent="0.2">
      <c r="A563" s="72"/>
      <c r="B563" s="41" t="s">
        <v>544</v>
      </c>
      <c r="C563" s="62">
        <v>923</v>
      </c>
      <c r="D563" s="61" t="s">
        <v>7</v>
      </c>
      <c r="E563" s="61" t="s">
        <v>7</v>
      </c>
      <c r="F563" s="8" t="s">
        <v>30</v>
      </c>
      <c r="G563" s="63">
        <v>1</v>
      </c>
      <c r="H563" s="8" t="s">
        <v>2</v>
      </c>
      <c r="I563" s="8" t="s">
        <v>543</v>
      </c>
      <c r="J563" s="40" t="s">
        <v>557</v>
      </c>
      <c r="K563" s="12">
        <f>K564</f>
        <v>141.1</v>
      </c>
      <c r="L563" s="12">
        <f>L564</f>
        <v>141</v>
      </c>
      <c r="M563" s="12">
        <f t="shared" si="67"/>
        <v>99.929128277817156</v>
      </c>
      <c r="N563" s="9"/>
    </row>
    <row r="564" spans="1:14" s="28" customFormat="1" ht="50.25" customHeight="1" x14ac:dyDescent="0.2">
      <c r="A564" s="72"/>
      <c r="B564" s="19" t="s">
        <v>54</v>
      </c>
      <c r="C564" s="62">
        <v>923</v>
      </c>
      <c r="D564" s="61" t="s">
        <v>7</v>
      </c>
      <c r="E564" s="61" t="s">
        <v>7</v>
      </c>
      <c r="F564" s="8" t="s">
        <v>30</v>
      </c>
      <c r="G564" s="63">
        <v>1</v>
      </c>
      <c r="H564" s="8" t="s">
        <v>2</v>
      </c>
      <c r="I564" s="8" t="s">
        <v>543</v>
      </c>
      <c r="J564" s="8" t="s">
        <v>55</v>
      </c>
      <c r="K564" s="12">
        <v>141.1</v>
      </c>
      <c r="L564" s="12">
        <v>141</v>
      </c>
      <c r="M564" s="12">
        <f t="shared" ref="M564:M625" si="76">SUM(L564/K564*100)</f>
        <v>99.929128277817156</v>
      </c>
      <c r="N564" s="9"/>
    </row>
    <row r="565" spans="1:14" s="28" customFormat="1" ht="159" customHeight="1" x14ac:dyDescent="0.2">
      <c r="A565" s="72"/>
      <c r="B565" s="19" t="s">
        <v>520</v>
      </c>
      <c r="C565" s="62">
        <v>923</v>
      </c>
      <c r="D565" s="61" t="s">
        <v>7</v>
      </c>
      <c r="E565" s="61" t="s">
        <v>7</v>
      </c>
      <c r="F565" s="8" t="s">
        <v>30</v>
      </c>
      <c r="G565" s="8" t="s">
        <v>116</v>
      </c>
      <c r="H565" s="8" t="s">
        <v>2</v>
      </c>
      <c r="I565" s="61" t="s">
        <v>165</v>
      </c>
      <c r="J565" s="40" t="s">
        <v>557</v>
      </c>
      <c r="K565" s="12">
        <f>SUM(K566:K566)</f>
        <v>63</v>
      </c>
      <c r="L565" s="12">
        <f>SUM(L566:L566)</f>
        <v>0</v>
      </c>
      <c r="M565" s="12">
        <f t="shared" si="76"/>
        <v>0</v>
      </c>
      <c r="N565" s="9"/>
    </row>
    <row r="566" spans="1:14" s="28" customFormat="1" ht="48" customHeight="1" x14ac:dyDescent="0.2">
      <c r="A566" s="72"/>
      <c r="B566" s="19" t="s">
        <v>54</v>
      </c>
      <c r="C566" s="62">
        <v>923</v>
      </c>
      <c r="D566" s="61" t="s">
        <v>7</v>
      </c>
      <c r="E566" s="61" t="s">
        <v>7</v>
      </c>
      <c r="F566" s="8" t="s">
        <v>30</v>
      </c>
      <c r="G566" s="8" t="s">
        <v>116</v>
      </c>
      <c r="H566" s="8" t="s">
        <v>2</v>
      </c>
      <c r="I566" s="61" t="s">
        <v>165</v>
      </c>
      <c r="J566" s="61" t="s">
        <v>55</v>
      </c>
      <c r="K566" s="12">
        <v>63</v>
      </c>
      <c r="L566" s="12">
        <v>0</v>
      </c>
      <c r="M566" s="12">
        <f t="shared" si="76"/>
        <v>0</v>
      </c>
      <c r="N566" s="9"/>
    </row>
    <row r="567" spans="1:14" s="28" customFormat="1" ht="63" x14ac:dyDescent="0.2">
      <c r="A567" s="72"/>
      <c r="B567" s="19" t="s">
        <v>290</v>
      </c>
      <c r="C567" s="62">
        <v>923</v>
      </c>
      <c r="D567" s="61" t="s">
        <v>7</v>
      </c>
      <c r="E567" s="61" t="s">
        <v>7</v>
      </c>
      <c r="F567" s="8" t="s">
        <v>30</v>
      </c>
      <c r="G567" s="8" t="s">
        <v>116</v>
      </c>
      <c r="H567" s="8" t="s">
        <v>2</v>
      </c>
      <c r="I567" s="8" t="s">
        <v>291</v>
      </c>
      <c r="J567" s="40" t="s">
        <v>557</v>
      </c>
      <c r="K567" s="12">
        <f>SUM(K568:K569)</f>
        <v>1511.6</v>
      </c>
      <c r="L567" s="12">
        <f>SUM(L568:L569)</f>
        <v>1467.5</v>
      </c>
      <c r="M567" s="12">
        <f t="shared" si="76"/>
        <v>97.082561524212764</v>
      </c>
      <c r="N567" s="9"/>
    </row>
    <row r="568" spans="1:14" s="28" customFormat="1" ht="78.75" x14ac:dyDescent="0.2">
      <c r="A568" s="72"/>
      <c r="B568" s="19" t="s">
        <v>163</v>
      </c>
      <c r="C568" s="62">
        <v>923</v>
      </c>
      <c r="D568" s="61" t="s">
        <v>7</v>
      </c>
      <c r="E568" s="61" t="s">
        <v>7</v>
      </c>
      <c r="F568" s="8" t="s">
        <v>30</v>
      </c>
      <c r="G568" s="8" t="s">
        <v>116</v>
      </c>
      <c r="H568" s="8" t="s">
        <v>2</v>
      </c>
      <c r="I568" s="8" t="s">
        <v>291</v>
      </c>
      <c r="J568" s="61" t="s">
        <v>55</v>
      </c>
      <c r="K568" s="12">
        <f>1349.6+114.9</f>
        <v>1464.5</v>
      </c>
      <c r="L568" s="12">
        <v>1442</v>
      </c>
      <c r="M568" s="12">
        <f t="shared" si="76"/>
        <v>98.463639467395012</v>
      </c>
      <c r="N568" s="9"/>
    </row>
    <row r="569" spans="1:14" s="28" customFormat="1" ht="31.5" x14ac:dyDescent="0.2">
      <c r="A569" s="72"/>
      <c r="B569" s="19" t="s">
        <v>164</v>
      </c>
      <c r="C569" s="62">
        <v>923</v>
      </c>
      <c r="D569" s="61" t="s">
        <v>7</v>
      </c>
      <c r="E569" s="61" t="s">
        <v>7</v>
      </c>
      <c r="F569" s="8" t="s">
        <v>30</v>
      </c>
      <c r="G569" s="8" t="s">
        <v>116</v>
      </c>
      <c r="H569" s="8" t="s">
        <v>2</v>
      </c>
      <c r="I569" s="8" t="s">
        <v>291</v>
      </c>
      <c r="J569" s="61" t="s">
        <v>57</v>
      </c>
      <c r="K569" s="12">
        <f>162-114.9</f>
        <v>47.099999999999994</v>
      </c>
      <c r="L569" s="12">
        <v>25.5</v>
      </c>
      <c r="M569" s="12">
        <f t="shared" si="76"/>
        <v>54.140127388535042</v>
      </c>
      <c r="N569" s="9"/>
    </row>
    <row r="570" spans="1:14" s="28" customFormat="1" ht="141.75" customHeight="1" x14ac:dyDescent="0.2">
      <c r="A570" s="72"/>
      <c r="B570" s="42" t="s">
        <v>312</v>
      </c>
      <c r="C570" s="62">
        <v>923</v>
      </c>
      <c r="D570" s="61" t="s">
        <v>7</v>
      </c>
      <c r="E570" s="61" t="s">
        <v>7</v>
      </c>
      <c r="F570" s="8" t="s">
        <v>30</v>
      </c>
      <c r="G570" s="63">
        <v>1</v>
      </c>
      <c r="H570" s="8" t="s">
        <v>2</v>
      </c>
      <c r="I570" s="8" t="s">
        <v>103</v>
      </c>
      <c r="J570" s="40" t="s">
        <v>557</v>
      </c>
      <c r="K570" s="12">
        <f>SUM(K571:K572)</f>
        <v>755.9</v>
      </c>
      <c r="L570" s="12">
        <f>SUM(L571:L572)</f>
        <v>755.9</v>
      </c>
      <c r="M570" s="12">
        <f t="shared" si="76"/>
        <v>100</v>
      </c>
      <c r="N570" s="9"/>
    </row>
    <row r="571" spans="1:14" s="28" customFormat="1" ht="78.75" x14ac:dyDescent="0.2">
      <c r="A571" s="72"/>
      <c r="B571" s="19" t="s">
        <v>163</v>
      </c>
      <c r="C571" s="62">
        <v>923</v>
      </c>
      <c r="D571" s="61" t="s">
        <v>7</v>
      </c>
      <c r="E571" s="61" t="s">
        <v>7</v>
      </c>
      <c r="F571" s="8" t="s">
        <v>30</v>
      </c>
      <c r="G571" s="63">
        <v>1</v>
      </c>
      <c r="H571" s="8" t="s">
        <v>2</v>
      </c>
      <c r="I571" s="8" t="s">
        <v>103</v>
      </c>
      <c r="J571" s="8" t="s">
        <v>55</v>
      </c>
      <c r="K571" s="12">
        <f>674.8+62.6+3.6</f>
        <v>741</v>
      </c>
      <c r="L571" s="12">
        <f>674.8+62.6+3.6</f>
        <v>741</v>
      </c>
      <c r="M571" s="12">
        <f t="shared" si="76"/>
        <v>100</v>
      </c>
      <c r="N571" s="9"/>
    </row>
    <row r="572" spans="1:14" s="28" customFormat="1" ht="31.5" x14ac:dyDescent="0.2">
      <c r="A572" s="72"/>
      <c r="B572" s="19" t="s">
        <v>164</v>
      </c>
      <c r="C572" s="62">
        <v>923</v>
      </c>
      <c r="D572" s="61" t="s">
        <v>7</v>
      </c>
      <c r="E572" s="61" t="s">
        <v>7</v>
      </c>
      <c r="F572" s="8" t="s">
        <v>30</v>
      </c>
      <c r="G572" s="63">
        <v>1</v>
      </c>
      <c r="H572" s="8" t="s">
        <v>2</v>
      </c>
      <c r="I572" s="8" t="s">
        <v>103</v>
      </c>
      <c r="J572" s="8" t="s">
        <v>57</v>
      </c>
      <c r="K572" s="12">
        <v>14.9</v>
      </c>
      <c r="L572" s="12">
        <v>14.9</v>
      </c>
      <c r="M572" s="12">
        <f t="shared" si="76"/>
        <v>100</v>
      </c>
      <c r="N572" s="9"/>
    </row>
    <row r="573" spans="1:14" s="28" customFormat="1" ht="18.75" customHeight="1" x14ac:dyDescent="0.2">
      <c r="A573" s="72"/>
      <c r="B573" s="19" t="s">
        <v>202</v>
      </c>
      <c r="C573" s="62">
        <v>923</v>
      </c>
      <c r="D573" s="61" t="s">
        <v>7</v>
      </c>
      <c r="E573" s="61" t="s">
        <v>7</v>
      </c>
      <c r="F573" s="8" t="s">
        <v>30</v>
      </c>
      <c r="G573" s="8" t="s">
        <v>116</v>
      </c>
      <c r="H573" s="8" t="s">
        <v>4</v>
      </c>
      <c r="I573" s="5" t="s">
        <v>557</v>
      </c>
      <c r="J573" s="40" t="s">
        <v>557</v>
      </c>
      <c r="K573" s="12">
        <f>K574+K577+K580+K582</f>
        <v>10499.8</v>
      </c>
      <c r="L573" s="12">
        <f>L574+L577+L580+L582</f>
        <v>10499</v>
      </c>
      <c r="M573" s="12">
        <f t="shared" si="76"/>
        <v>99.992380807253483</v>
      </c>
      <c r="N573" s="9"/>
    </row>
    <row r="574" spans="1:14" s="28" customFormat="1" ht="31.5" x14ac:dyDescent="0.2">
      <c r="A574" s="72"/>
      <c r="B574" s="19" t="s">
        <v>74</v>
      </c>
      <c r="C574" s="62">
        <v>923</v>
      </c>
      <c r="D574" s="61" t="s">
        <v>7</v>
      </c>
      <c r="E574" s="61" t="s">
        <v>7</v>
      </c>
      <c r="F574" s="8" t="s">
        <v>30</v>
      </c>
      <c r="G574" s="8" t="s">
        <v>116</v>
      </c>
      <c r="H574" s="8" t="s">
        <v>4</v>
      </c>
      <c r="I574" s="8" t="s">
        <v>99</v>
      </c>
      <c r="J574" s="40" t="s">
        <v>557</v>
      </c>
      <c r="K574" s="12">
        <f>K575+K576</f>
        <v>9948.2000000000007</v>
      </c>
      <c r="L574" s="12">
        <f>L575+L576</f>
        <v>9948.2000000000007</v>
      </c>
      <c r="M574" s="12">
        <f t="shared" si="76"/>
        <v>100</v>
      </c>
      <c r="N574" s="9"/>
    </row>
    <row r="575" spans="1:14" s="28" customFormat="1" ht="78.75" x14ac:dyDescent="0.2">
      <c r="A575" s="72"/>
      <c r="B575" s="19" t="s">
        <v>163</v>
      </c>
      <c r="C575" s="62">
        <v>923</v>
      </c>
      <c r="D575" s="61" t="s">
        <v>7</v>
      </c>
      <c r="E575" s="61" t="s">
        <v>7</v>
      </c>
      <c r="F575" s="8" t="s">
        <v>30</v>
      </c>
      <c r="G575" s="8" t="s">
        <v>116</v>
      </c>
      <c r="H575" s="8" t="s">
        <v>4</v>
      </c>
      <c r="I575" s="8" t="s">
        <v>99</v>
      </c>
      <c r="J575" s="61" t="s">
        <v>55</v>
      </c>
      <c r="K575" s="12">
        <v>9730.7000000000007</v>
      </c>
      <c r="L575" s="12">
        <v>9730.7000000000007</v>
      </c>
      <c r="M575" s="12">
        <f t="shared" si="76"/>
        <v>100</v>
      </c>
      <c r="N575" s="9"/>
    </row>
    <row r="576" spans="1:14" s="28" customFormat="1" ht="31.5" x14ac:dyDescent="0.2">
      <c r="A576" s="72"/>
      <c r="B576" s="19" t="s">
        <v>164</v>
      </c>
      <c r="C576" s="62">
        <v>923</v>
      </c>
      <c r="D576" s="61" t="s">
        <v>7</v>
      </c>
      <c r="E576" s="61" t="s">
        <v>7</v>
      </c>
      <c r="F576" s="8" t="s">
        <v>30</v>
      </c>
      <c r="G576" s="8" t="s">
        <v>116</v>
      </c>
      <c r="H576" s="8" t="s">
        <v>4</v>
      </c>
      <c r="I576" s="8" t="s">
        <v>99</v>
      </c>
      <c r="J576" s="61" t="s">
        <v>57</v>
      </c>
      <c r="K576" s="12">
        <f>289.3-71.8</f>
        <v>217.5</v>
      </c>
      <c r="L576" s="12">
        <f>289.3-71.8</f>
        <v>217.5</v>
      </c>
      <c r="M576" s="12">
        <f t="shared" si="76"/>
        <v>100</v>
      </c>
      <c r="N576" s="9"/>
    </row>
    <row r="577" spans="1:14" s="28" customFormat="1" ht="66" customHeight="1" x14ac:dyDescent="0.2">
      <c r="A577" s="72"/>
      <c r="B577" s="19" t="s">
        <v>220</v>
      </c>
      <c r="C577" s="62">
        <v>923</v>
      </c>
      <c r="D577" s="61" t="s">
        <v>7</v>
      </c>
      <c r="E577" s="61" t="s">
        <v>7</v>
      </c>
      <c r="F577" s="8" t="s">
        <v>30</v>
      </c>
      <c r="G577" s="8" t="s">
        <v>116</v>
      </c>
      <c r="H577" s="8" t="s">
        <v>4</v>
      </c>
      <c r="I577" s="8" t="s">
        <v>221</v>
      </c>
      <c r="J577" s="40" t="s">
        <v>557</v>
      </c>
      <c r="K577" s="12">
        <f>SUM(K578:K579)</f>
        <v>446.9</v>
      </c>
      <c r="L577" s="12">
        <f>SUM(L578:L579)</f>
        <v>446.9</v>
      </c>
      <c r="M577" s="12">
        <f t="shared" si="76"/>
        <v>100</v>
      </c>
      <c r="N577" s="9"/>
    </row>
    <row r="578" spans="1:14" s="28" customFormat="1" ht="78.75" x14ac:dyDescent="0.2">
      <c r="A578" s="72"/>
      <c r="B578" s="48" t="s">
        <v>163</v>
      </c>
      <c r="C578" s="62">
        <v>923</v>
      </c>
      <c r="D578" s="61" t="s">
        <v>7</v>
      </c>
      <c r="E578" s="61" t="s">
        <v>7</v>
      </c>
      <c r="F578" s="8" t="s">
        <v>30</v>
      </c>
      <c r="G578" s="8" t="s">
        <v>116</v>
      </c>
      <c r="H578" s="8" t="s">
        <v>4</v>
      </c>
      <c r="I578" s="8" t="s">
        <v>221</v>
      </c>
      <c r="J578" s="61" t="s">
        <v>55</v>
      </c>
      <c r="K578" s="12">
        <f>350+46.9</f>
        <v>396.9</v>
      </c>
      <c r="L578" s="12">
        <f>350+46.9</f>
        <v>396.9</v>
      </c>
      <c r="M578" s="12">
        <f t="shared" si="76"/>
        <v>100</v>
      </c>
      <c r="N578" s="9"/>
    </row>
    <row r="579" spans="1:14" s="28" customFormat="1" ht="31.5" x14ac:dyDescent="0.2">
      <c r="A579" s="72"/>
      <c r="B579" s="48" t="s">
        <v>164</v>
      </c>
      <c r="C579" s="62">
        <v>923</v>
      </c>
      <c r="D579" s="61" t="s">
        <v>7</v>
      </c>
      <c r="E579" s="61" t="s">
        <v>7</v>
      </c>
      <c r="F579" s="8" t="s">
        <v>30</v>
      </c>
      <c r="G579" s="8" t="s">
        <v>116</v>
      </c>
      <c r="H579" s="8" t="s">
        <v>4</v>
      </c>
      <c r="I579" s="8" t="s">
        <v>221</v>
      </c>
      <c r="J579" s="61" t="s">
        <v>57</v>
      </c>
      <c r="K579" s="12">
        <f>50</f>
        <v>50</v>
      </c>
      <c r="L579" s="12">
        <f>50</f>
        <v>50</v>
      </c>
      <c r="M579" s="12">
        <f t="shared" si="76"/>
        <v>100</v>
      </c>
      <c r="N579" s="9"/>
    </row>
    <row r="580" spans="1:14" s="28" customFormat="1" ht="31.5" x14ac:dyDescent="0.2">
      <c r="A580" s="72"/>
      <c r="B580" s="48" t="s">
        <v>374</v>
      </c>
      <c r="C580" s="62">
        <v>923</v>
      </c>
      <c r="D580" s="8" t="s">
        <v>7</v>
      </c>
      <c r="E580" s="8" t="s">
        <v>7</v>
      </c>
      <c r="F580" s="8" t="s">
        <v>30</v>
      </c>
      <c r="G580" s="63">
        <v>1</v>
      </c>
      <c r="H580" s="8" t="s">
        <v>4</v>
      </c>
      <c r="I580" s="8" t="s">
        <v>373</v>
      </c>
      <c r="J580" s="40" t="s">
        <v>557</v>
      </c>
      <c r="K580" s="12">
        <f t="shared" ref="K580:L592" si="77">SUM(K581)</f>
        <v>34.4</v>
      </c>
      <c r="L580" s="12">
        <f t="shared" si="77"/>
        <v>33.6</v>
      </c>
      <c r="M580" s="12">
        <f t="shared" si="76"/>
        <v>97.674418604651166</v>
      </c>
      <c r="N580" s="9"/>
    </row>
    <row r="581" spans="1:14" s="28" customFormat="1" ht="31.5" x14ac:dyDescent="0.2">
      <c r="A581" s="72"/>
      <c r="B581" s="48" t="s">
        <v>164</v>
      </c>
      <c r="C581" s="62">
        <v>923</v>
      </c>
      <c r="D581" s="8" t="s">
        <v>7</v>
      </c>
      <c r="E581" s="8" t="s">
        <v>7</v>
      </c>
      <c r="F581" s="8" t="s">
        <v>30</v>
      </c>
      <c r="G581" s="63">
        <v>1</v>
      </c>
      <c r="H581" s="8" t="s">
        <v>4</v>
      </c>
      <c r="I581" s="8" t="s">
        <v>373</v>
      </c>
      <c r="J581" s="8" t="s">
        <v>57</v>
      </c>
      <c r="K581" s="12">
        <v>34.4</v>
      </c>
      <c r="L581" s="12">
        <v>33.6</v>
      </c>
      <c r="M581" s="12">
        <f t="shared" si="76"/>
        <v>97.674418604651166</v>
      </c>
      <c r="N581" s="9"/>
    </row>
    <row r="582" spans="1:14" s="28" customFormat="1" ht="47.25" x14ac:dyDescent="0.2">
      <c r="A582" s="72"/>
      <c r="B582" s="48" t="s">
        <v>381</v>
      </c>
      <c r="C582" s="62">
        <v>923</v>
      </c>
      <c r="D582" s="8" t="s">
        <v>7</v>
      </c>
      <c r="E582" s="8" t="s">
        <v>7</v>
      </c>
      <c r="F582" s="8" t="s">
        <v>30</v>
      </c>
      <c r="G582" s="63">
        <v>1</v>
      </c>
      <c r="H582" s="8" t="s">
        <v>4</v>
      </c>
      <c r="I582" s="8" t="s">
        <v>380</v>
      </c>
      <c r="J582" s="40" t="s">
        <v>557</v>
      </c>
      <c r="K582" s="12">
        <f>K583</f>
        <v>70.3</v>
      </c>
      <c r="L582" s="12">
        <f>L583</f>
        <v>70.3</v>
      </c>
      <c r="M582" s="12">
        <f t="shared" si="76"/>
        <v>100</v>
      </c>
      <c r="N582" s="9"/>
    </row>
    <row r="583" spans="1:14" s="28" customFormat="1" ht="31.5" x14ac:dyDescent="0.2">
      <c r="A583" s="72"/>
      <c r="B583" s="48" t="s">
        <v>164</v>
      </c>
      <c r="C583" s="62">
        <v>923</v>
      </c>
      <c r="D583" s="8" t="s">
        <v>7</v>
      </c>
      <c r="E583" s="8" t="s">
        <v>7</v>
      </c>
      <c r="F583" s="8" t="s">
        <v>30</v>
      </c>
      <c r="G583" s="63">
        <v>1</v>
      </c>
      <c r="H583" s="8" t="s">
        <v>4</v>
      </c>
      <c r="I583" s="8" t="s">
        <v>380</v>
      </c>
      <c r="J583" s="8" t="s">
        <v>57</v>
      </c>
      <c r="K583" s="12">
        <v>70.3</v>
      </c>
      <c r="L583" s="12">
        <v>70.3</v>
      </c>
      <c r="M583" s="12">
        <f t="shared" si="76"/>
        <v>100</v>
      </c>
      <c r="N583" s="9"/>
    </row>
    <row r="584" spans="1:14" s="28" customFormat="1" ht="31.5" x14ac:dyDescent="0.2">
      <c r="A584" s="72"/>
      <c r="B584" s="48" t="s">
        <v>205</v>
      </c>
      <c r="C584" s="62">
        <v>923</v>
      </c>
      <c r="D584" s="61" t="s">
        <v>7</v>
      </c>
      <c r="E584" s="61" t="s">
        <v>7</v>
      </c>
      <c r="F584" s="8" t="s">
        <v>30</v>
      </c>
      <c r="G584" s="8" t="s">
        <v>116</v>
      </c>
      <c r="H584" s="8" t="s">
        <v>5</v>
      </c>
      <c r="I584" s="5" t="s">
        <v>557</v>
      </c>
      <c r="J584" s="40" t="s">
        <v>557</v>
      </c>
      <c r="K584" s="12">
        <f t="shared" ref="K584:L585" si="78">SUM(K585)</f>
        <v>2354.1999999999998</v>
      </c>
      <c r="L584" s="12">
        <f t="shared" si="78"/>
        <v>2354.1999999999998</v>
      </c>
      <c r="M584" s="12">
        <f t="shared" si="76"/>
        <v>100</v>
      </c>
      <c r="N584" s="9"/>
    </row>
    <row r="585" spans="1:14" s="28" customFormat="1" ht="64.5" customHeight="1" x14ac:dyDescent="0.2">
      <c r="A585" s="72"/>
      <c r="B585" s="49" t="s">
        <v>84</v>
      </c>
      <c r="C585" s="62">
        <v>923</v>
      </c>
      <c r="D585" s="61" t="s">
        <v>7</v>
      </c>
      <c r="E585" s="61" t="s">
        <v>7</v>
      </c>
      <c r="F585" s="8" t="s">
        <v>30</v>
      </c>
      <c r="G585" s="8" t="s">
        <v>116</v>
      </c>
      <c r="H585" s="8" t="s">
        <v>5</v>
      </c>
      <c r="I585" s="8" t="s">
        <v>111</v>
      </c>
      <c r="J585" s="40" t="s">
        <v>557</v>
      </c>
      <c r="K585" s="12">
        <f t="shared" si="78"/>
        <v>2354.1999999999998</v>
      </c>
      <c r="L585" s="12">
        <f t="shared" si="78"/>
        <v>2354.1999999999998</v>
      </c>
      <c r="M585" s="12">
        <f t="shared" si="76"/>
        <v>100</v>
      </c>
      <c r="N585" s="9"/>
    </row>
    <row r="586" spans="1:14" s="28" customFormat="1" ht="34.5" customHeight="1" x14ac:dyDescent="0.2">
      <c r="A586" s="72"/>
      <c r="B586" s="51" t="s">
        <v>162</v>
      </c>
      <c r="C586" s="62">
        <v>923</v>
      </c>
      <c r="D586" s="61" t="s">
        <v>7</v>
      </c>
      <c r="E586" s="61" t="s">
        <v>7</v>
      </c>
      <c r="F586" s="8" t="s">
        <v>30</v>
      </c>
      <c r="G586" s="8" t="s">
        <v>116</v>
      </c>
      <c r="H586" s="8" t="s">
        <v>5</v>
      </c>
      <c r="I586" s="8" t="s">
        <v>111</v>
      </c>
      <c r="J586" s="61" t="s">
        <v>73</v>
      </c>
      <c r="K586" s="12">
        <f>2020+256.6+77.6</f>
        <v>2354.1999999999998</v>
      </c>
      <c r="L586" s="12">
        <f>2020+256.6+77.6</f>
        <v>2354.1999999999998</v>
      </c>
      <c r="M586" s="12">
        <f t="shared" si="76"/>
        <v>100</v>
      </c>
      <c r="N586" s="9"/>
    </row>
    <row r="587" spans="1:14" s="28" customFormat="1" x14ac:dyDescent="0.2">
      <c r="A587" s="72"/>
      <c r="B587" s="48" t="s">
        <v>18</v>
      </c>
      <c r="C587" s="62">
        <v>923</v>
      </c>
      <c r="D587" s="8" t="s">
        <v>8</v>
      </c>
      <c r="E587" s="40" t="s">
        <v>557</v>
      </c>
      <c r="F587" s="5" t="s">
        <v>557</v>
      </c>
      <c r="G587" s="40" t="s">
        <v>557</v>
      </c>
      <c r="H587" s="5" t="s">
        <v>557</v>
      </c>
      <c r="I587" s="5" t="s">
        <v>557</v>
      </c>
      <c r="J587" s="40" t="s">
        <v>557</v>
      </c>
      <c r="K587" s="12">
        <f t="shared" si="77"/>
        <v>12</v>
      </c>
      <c r="L587" s="12">
        <f t="shared" si="77"/>
        <v>12</v>
      </c>
      <c r="M587" s="12">
        <f t="shared" si="76"/>
        <v>100</v>
      </c>
      <c r="N587" s="9"/>
    </row>
    <row r="588" spans="1:14" s="28" customFormat="1" ht="31.5" x14ac:dyDescent="0.2">
      <c r="A588" s="72"/>
      <c r="B588" s="48" t="s">
        <v>375</v>
      </c>
      <c r="C588" s="62">
        <v>923</v>
      </c>
      <c r="D588" s="8" t="s">
        <v>8</v>
      </c>
      <c r="E588" s="8" t="s">
        <v>7</v>
      </c>
      <c r="F588" s="5" t="s">
        <v>557</v>
      </c>
      <c r="G588" s="40" t="s">
        <v>557</v>
      </c>
      <c r="H588" s="5" t="s">
        <v>557</v>
      </c>
      <c r="I588" s="5" t="s">
        <v>557</v>
      </c>
      <c r="J588" s="40" t="s">
        <v>557</v>
      </c>
      <c r="K588" s="12">
        <f>SUM(K589)</f>
        <v>12</v>
      </c>
      <c r="L588" s="12">
        <f>SUM(L589)</f>
        <v>12</v>
      </c>
      <c r="M588" s="12">
        <f t="shared" si="76"/>
        <v>100</v>
      </c>
      <c r="N588" s="9"/>
    </row>
    <row r="589" spans="1:14" s="28" customFormat="1" ht="47.25" x14ac:dyDescent="0.2">
      <c r="A589" s="72"/>
      <c r="B589" s="49" t="s">
        <v>230</v>
      </c>
      <c r="C589" s="62">
        <v>923</v>
      </c>
      <c r="D589" s="8" t="s">
        <v>8</v>
      </c>
      <c r="E589" s="8" t="s">
        <v>7</v>
      </c>
      <c r="F589" s="8" t="s">
        <v>30</v>
      </c>
      <c r="G589" s="40" t="s">
        <v>557</v>
      </c>
      <c r="H589" s="5" t="s">
        <v>557</v>
      </c>
      <c r="I589" s="5" t="s">
        <v>557</v>
      </c>
      <c r="J589" s="40" t="s">
        <v>557</v>
      </c>
      <c r="K589" s="12">
        <f t="shared" si="77"/>
        <v>12</v>
      </c>
      <c r="L589" s="12">
        <f t="shared" si="77"/>
        <v>12</v>
      </c>
      <c r="M589" s="12">
        <f t="shared" si="76"/>
        <v>100</v>
      </c>
      <c r="N589" s="9"/>
    </row>
    <row r="590" spans="1:14" s="28" customFormat="1" ht="46.5" customHeight="1" x14ac:dyDescent="0.2">
      <c r="A590" s="72"/>
      <c r="B590" s="48" t="s">
        <v>258</v>
      </c>
      <c r="C590" s="62">
        <v>923</v>
      </c>
      <c r="D590" s="8" t="s">
        <v>8</v>
      </c>
      <c r="E590" s="8" t="s">
        <v>7</v>
      </c>
      <c r="F590" s="8" t="s">
        <v>30</v>
      </c>
      <c r="G590" s="8" t="s">
        <v>116</v>
      </c>
      <c r="H590" s="5" t="s">
        <v>557</v>
      </c>
      <c r="I590" s="5" t="s">
        <v>557</v>
      </c>
      <c r="J590" s="40" t="s">
        <v>557</v>
      </c>
      <c r="K590" s="12">
        <f t="shared" si="77"/>
        <v>12</v>
      </c>
      <c r="L590" s="12">
        <f t="shared" si="77"/>
        <v>12</v>
      </c>
      <c r="M590" s="12">
        <f t="shared" si="76"/>
        <v>100</v>
      </c>
      <c r="N590" s="9"/>
    </row>
    <row r="591" spans="1:14" s="28" customFormat="1" ht="18" customHeight="1" x14ac:dyDescent="0.2">
      <c r="A591" s="72"/>
      <c r="B591" s="48" t="s">
        <v>202</v>
      </c>
      <c r="C591" s="62">
        <v>923</v>
      </c>
      <c r="D591" s="8" t="s">
        <v>8</v>
      </c>
      <c r="E591" s="8" t="s">
        <v>7</v>
      </c>
      <c r="F591" s="8" t="s">
        <v>30</v>
      </c>
      <c r="G591" s="8" t="s">
        <v>116</v>
      </c>
      <c r="H591" s="8" t="s">
        <v>4</v>
      </c>
      <c r="I591" s="5" t="s">
        <v>557</v>
      </c>
      <c r="J591" s="40" t="s">
        <v>557</v>
      </c>
      <c r="K591" s="12">
        <f t="shared" si="77"/>
        <v>12</v>
      </c>
      <c r="L591" s="12">
        <f t="shared" si="77"/>
        <v>12</v>
      </c>
      <c r="M591" s="12">
        <f t="shared" si="76"/>
        <v>100</v>
      </c>
      <c r="N591" s="9"/>
    </row>
    <row r="592" spans="1:14" s="28" customFormat="1" ht="31.5" x14ac:dyDescent="0.2">
      <c r="A592" s="72"/>
      <c r="B592" s="48" t="s">
        <v>377</v>
      </c>
      <c r="C592" s="62">
        <v>923</v>
      </c>
      <c r="D592" s="8" t="s">
        <v>8</v>
      </c>
      <c r="E592" s="8" t="s">
        <v>7</v>
      </c>
      <c r="F592" s="8" t="s">
        <v>30</v>
      </c>
      <c r="G592" s="8" t="s">
        <v>116</v>
      </c>
      <c r="H592" s="8" t="s">
        <v>4</v>
      </c>
      <c r="I592" s="8" t="s">
        <v>376</v>
      </c>
      <c r="J592" s="40" t="s">
        <v>557</v>
      </c>
      <c r="K592" s="12">
        <f t="shared" si="77"/>
        <v>12</v>
      </c>
      <c r="L592" s="12">
        <f t="shared" si="77"/>
        <v>12</v>
      </c>
      <c r="M592" s="12">
        <f t="shared" si="76"/>
        <v>100</v>
      </c>
      <c r="N592" s="9"/>
    </row>
    <row r="593" spans="1:14" s="28" customFormat="1" ht="31.5" x14ac:dyDescent="0.2">
      <c r="A593" s="72"/>
      <c r="B593" s="48" t="s">
        <v>164</v>
      </c>
      <c r="C593" s="62">
        <v>923</v>
      </c>
      <c r="D593" s="8" t="s">
        <v>8</v>
      </c>
      <c r="E593" s="8" t="s">
        <v>7</v>
      </c>
      <c r="F593" s="8" t="s">
        <v>30</v>
      </c>
      <c r="G593" s="8" t="s">
        <v>116</v>
      </c>
      <c r="H593" s="8" t="s">
        <v>4</v>
      </c>
      <c r="I593" s="8" t="s">
        <v>376</v>
      </c>
      <c r="J593" s="61" t="s">
        <v>57</v>
      </c>
      <c r="K593" s="12">
        <v>12</v>
      </c>
      <c r="L593" s="12">
        <v>12</v>
      </c>
      <c r="M593" s="12">
        <f t="shared" si="76"/>
        <v>100</v>
      </c>
      <c r="N593" s="9"/>
    </row>
    <row r="594" spans="1:14" s="28" customFormat="1" ht="47.25" x14ac:dyDescent="0.2">
      <c r="A594" s="72"/>
      <c r="B594" s="47" t="s">
        <v>170</v>
      </c>
      <c r="C594" s="62">
        <v>923</v>
      </c>
      <c r="D594" s="8" t="s">
        <v>10</v>
      </c>
      <c r="E594" s="40" t="s">
        <v>557</v>
      </c>
      <c r="F594" s="5" t="s">
        <v>557</v>
      </c>
      <c r="G594" s="40" t="s">
        <v>557</v>
      </c>
      <c r="H594" s="5" t="s">
        <v>557</v>
      </c>
      <c r="I594" s="5" t="s">
        <v>557</v>
      </c>
      <c r="J594" s="40" t="s">
        <v>557</v>
      </c>
      <c r="K594" s="12">
        <f t="shared" ref="K594:L599" si="79">SUM(K595)</f>
        <v>25852.6</v>
      </c>
      <c r="L594" s="12">
        <f t="shared" si="79"/>
        <v>25852.6</v>
      </c>
      <c r="M594" s="12">
        <f t="shared" si="76"/>
        <v>100</v>
      </c>
      <c r="N594" s="9"/>
    </row>
    <row r="595" spans="1:14" s="28" customFormat="1" ht="31.5" x14ac:dyDescent="0.2">
      <c r="A595" s="72"/>
      <c r="B595" s="47" t="s">
        <v>402</v>
      </c>
      <c r="C595" s="62">
        <v>923</v>
      </c>
      <c r="D595" s="8" t="s">
        <v>10</v>
      </c>
      <c r="E595" s="8" t="s">
        <v>5</v>
      </c>
      <c r="F595" s="5" t="s">
        <v>557</v>
      </c>
      <c r="G595" s="40" t="s">
        <v>557</v>
      </c>
      <c r="H595" s="5" t="s">
        <v>557</v>
      </c>
      <c r="I595" s="5" t="s">
        <v>557</v>
      </c>
      <c r="J595" s="40" t="s">
        <v>557</v>
      </c>
      <c r="K595" s="12">
        <f t="shared" si="79"/>
        <v>25852.6</v>
      </c>
      <c r="L595" s="12">
        <f t="shared" si="79"/>
        <v>25852.6</v>
      </c>
      <c r="M595" s="12">
        <f t="shared" si="76"/>
        <v>100</v>
      </c>
      <c r="N595" s="9"/>
    </row>
    <row r="596" spans="1:14" s="28" customFormat="1" ht="47.25" x14ac:dyDescent="0.2">
      <c r="A596" s="72"/>
      <c r="B596" s="41" t="s">
        <v>230</v>
      </c>
      <c r="C596" s="62">
        <v>923</v>
      </c>
      <c r="D596" s="8" t="s">
        <v>10</v>
      </c>
      <c r="E596" s="8" t="s">
        <v>5</v>
      </c>
      <c r="F596" s="8" t="s">
        <v>30</v>
      </c>
      <c r="G596" s="40" t="s">
        <v>557</v>
      </c>
      <c r="H596" s="5" t="s">
        <v>557</v>
      </c>
      <c r="I596" s="5" t="s">
        <v>557</v>
      </c>
      <c r="J596" s="40" t="s">
        <v>557</v>
      </c>
      <c r="K596" s="12">
        <f t="shared" si="79"/>
        <v>25852.6</v>
      </c>
      <c r="L596" s="12">
        <f t="shared" si="79"/>
        <v>25852.6</v>
      </c>
      <c r="M596" s="12">
        <f t="shared" si="76"/>
        <v>100</v>
      </c>
      <c r="N596" s="9"/>
    </row>
    <row r="597" spans="1:14" s="28" customFormat="1" ht="49.5" customHeight="1" x14ac:dyDescent="0.2">
      <c r="A597" s="72"/>
      <c r="B597" s="52" t="s">
        <v>258</v>
      </c>
      <c r="C597" s="62">
        <v>923</v>
      </c>
      <c r="D597" s="8" t="s">
        <v>10</v>
      </c>
      <c r="E597" s="8" t="s">
        <v>5</v>
      </c>
      <c r="F597" s="8" t="s">
        <v>30</v>
      </c>
      <c r="G597" s="8" t="s">
        <v>116</v>
      </c>
      <c r="H597" s="5" t="s">
        <v>557</v>
      </c>
      <c r="I597" s="5" t="s">
        <v>557</v>
      </c>
      <c r="J597" s="40" t="s">
        <v>557</v>
      </c>
      <c r="K597" s="12">
        <f t="shared" si="79"/>
        <v>25852.6</v>
      </c>
      <c r="L597" s="12">
        <f t="shared" si="79"/>
        <v>25852.6</v>
      </c>
      <c r="M597" s="12">
        <f t="shared" si="76"/>
        <v>100</v>
      </c>
      <c r="N597" s="9"/>
    </row>
    <row r="598" spans="1:14" s="28" customFormat="1" ht="36.75" customHeight="1" x14ac:dyDescent="0.2">
      <c r="A598" s="72"/>
      <c r="B598" s="44" t="s">
        <v>492</v>
      </c>
      <c r="C598" s="62">
        <v>923</v>
      </c>
      <c r="D598" s="8" t="s">
        <v>10</v>
      </c>
      <c r="E598" s="8" t="s">
        <v>5</v>
      </c>
      <c r="F598" s="8" t="s">
        <v>30</v>
      </c>
      <c r="G598" s="8" t="s">
        <v>116</v>
      </c>
      <c r="H598" s="8" t="s">
        <v>6</v>
      </c>
      <c r="I598" s="5" t="s">
        <v>557</v>
      </c>
      <c r="J598" s="40" t="s">
        <v>557</v>
      </c>
      <c r="K598" s="12">
        <f t="shared" si="79"/>
        <v>25852.6</v>
      </c>
      <c r="L598" s="12">
        <f t="shared" si="79"/>
        <v>25852.6</v>
      </c>
      <c r="M598" s="12">
        <f t="shared" si="76"/>
        <v>100</v>
      </c>
      <c r="N598" s="9"/>
    </row>
    <row r="599" spans="1:14" s="28" customFormat="1" ht="31.5" x14ac:dyDescent="0.2">
      <c r="A599" s="72"/>
      <c r="B599" s="44" t="s">
        <v>493</v>
      </c>
      <c r="C599" s="62">
        <v>923</v>
      </c>
      <c r="D599" s="8" t="s">
        <v>10</v>
      </c>
      <c r="E599" s="8" t="s">
        <v>5</v>
      </c>
      <c r="F599" s="8" t="s">
        <v>30</v>
      </c>
      <c r="G599" s="8" t="s">
        <v>116</v>
      </c>
      <c r="H599" s="8" t="s">
        <v>6</v>
      </c>
      <c r="I599" s="8" t="s">
        <v>491</v>
      </c>
      <c r="J599" s="40" t="s">
        <v>557</v>
      </c>
      <c r="K599" s="12">
        <f t="shared" si="79"/>
        <v>25852.6</v>
      </c>
      <c r="L599" s="12">
        <f t="shared" si="79"/>
        <v>25852.6</v>
      </c>
      <c r="M599" s="12">
        <f t="shared" si="76"/>
        <v>100</v>
      </c>
      <c r="N599" s="9"/>
    </row>
    <row r="600" spans="1:14" s="28" customFormat="1" x14ac:dyDescent="0.2">
      <c r="A600" s="69"/>
      <c r="B600" s="44" t="s">
        <v>22</v>
      </c>
      <c r="C600" s="62">
        <v>923</v>
      </c>
      <c r="D600" s="8" t="s">
        <v>10</v>
      </c>
      <c r="E600" s="8" t="s">
        <v>5</v>
      </c>
      <c r="F600" s="8" t="s">
        <v>30</v>
      </c>
      <c r="G600" s="8" t="s">
        <v>116</v>
      </c>
      <c r="H600" s="8" t="s">
        <v>6</v>
      </c>
      <c r="I600" s="8" t="s">
        <v>491</v>
      </c>
      <c r="J600" s="61" t="s">
        <v>69</v>
      </c>
      <c r="K600" s="12">
        <v>25852.6</v>
      </c>
      <c r="L600" s="12">
        <v>25852.6</v>
      </c>
      <c r="M600" s="12">
        <f t="shared" si="76"/>
        <v>100</v>
      </c>
      <c r="N600" s="9"/>
    </row>
    <row r="601" spans="1:14" s="28" customFormat="1" ht="34.5" customHeight="1" x14ac:dyDescent="0.2">
      <c r="A601" s="68">
        <v>9</v>
      </c>
      <c r="B601" s="19" t="s">
        <v>175</v>
      </c>
      <c r="C601" s="62">
        <v>925</v>
      </c>
      <c r="D601" s="40" t="s">
        <v>557</v>
      </c>
      <c r="E601" s="40" t="s">
        <v>557</v>
      </c>
      <c r="F601" s="5" t="s">
        <v>557</v>
      </c>
      <c r="G601" s="40" t="s">
        <v>557</v>
      </c>
      <c r="H601" s="5" t="s">
        <v>557</v>
      </c>
      <c r="I601" s="5" t="s">
        <v>557</v>
      </c>
      <c r="J601" s="40" t="s">
        <v>557</v>
      </c>
      <c r="K601" s="12">
        <f>SUM(K602+K610+K839)</f>
        <v>2768996.6000000006</v>
      </c>
      <c r="L601" s="12">
        <f>SUM(L602+L610+L839)</f>
        <v>2765990.1</v>
      </c>
      <c r="M601" s="12">
        <f t="shared" si="76"/>
        <v>99.891422763032637</v>
      </c>
      <c r="N601" s="9"/>
    </row>
    <row r="602" spans="1:14" s="28" customFormat="1" ht="31.5" x14ac:dyDescent="0.2">
      <c r="A602" s="72"/>
      <c r="B602" s="19" t="s">
        <v>14</v>
      </c>
      <c r="C602" s="62">
        <v>925</v>
      </c>
      <c r="D602" s="61" t="s">
        <v>5</v>
      </c>
      <c r="E602" s="40" t="s">
        <v>557</v>
      </c>
      <c r="F602" s="5" t="s">
        <v>557</v>
      </c>
      <c r="G602" s="40" t="s">
        <v>557</v>
      </c>
      <c r="H602" s="5" t="s">
        <v>557</v>
      </c>
      <c r="I602" s="5" t="s">
        <v>557</v>
      </c>
      <c r="J602" s="40" t="s">
        <v>557</v>
      </c>
      <c r="K602" s="12">
        <f>SUM(K603)</f>
        <v>206.5</v>
      </c>
      <c r="L602" s="12">
        <f>SUM(L603)</f>
        <v>206.5</v>
      </c>
      <c r="M602" s="12">
        <f t="shared" si="76"/>
        <v>100</v>
      </c>
      <c r="N602" s="9"/>
    </row>
    <row r="603" spans="1:14" s="28" customFormat="1" ht="31.5" customHeight="1" x14ac:dyDescent="0.2">
      <c r="A603" s="72"/>
      <c r="B603" s="19" t="s">
        <v>178</v>
      </c>
      <c r="C603" s="62">
        <v>925</v>
      </c>
      <c r="D603" s="61" t="s">
        <v>5</v>
      </c>
      <c r="E603" s="8" t="s">
        <v>10</v>
      </c>
      <c r="F603" s="5" t="s">
        <v>557</v>
      </c>
      <c r="G603" s="40" t="s">
        <v>557</v>
      </c>
      <c r="H603" s="5" t="s">
        <v>557</v>
      </c>
      <c r="I603" s="5" t="s">
        <v>557</v>
      </c>
      <c r="J603" s="40" t="s">
        <v>557</v>
      </c>
      <c r="K603" s="12">
        <f t="shared" ref="K603:L603" si="80">K604</f>
        <v>206.5</v>
      </c>
      <c r="L603" s="12">
        <f t="shared" si="80"/>
        <v>206.5</v>
      </c>
      <c r="M603" s="12">
        <f t="shared" si="76"/>
        <v>100</v>
      </c>
      <c r="N603" s="9"/>
    </row>
    <row r="604" spans="1:14" s="28" customFormat="1" ht="31.5" x14ac:dyDescent="0.2">
      <c r="A604" s="72"/>
      <c r="B604" s="41" t="s">
        <v>236</v>
      </c>
      <c r="C604" s="62">
        <v>925</v>
      </c>
      <c r="D604" s="8" t="s">
        <v>5</v>
      </c>
      <c r="E604" s="8" t="s">
        <v>10</v>
      </c>
      <c r="F604" s="8" t="s">
        <v>106</v>
      </c>
      <c r="G604" s="40" t="s">
        <v>557</v>
      </c>
      <c r="H604" s="5" t="s">
        <v>557</v>
      </c>
      <c r="I604" s="5" t="s">
        <v>557</v>
      </c>
      <c r="J604" s="40" t="s">
        <v>557</v>
      </c>
      <c r="K604" s="12">
        <f>K605</f>
        <v>206.5</v>
      </c>
      <c r="L604" s="12">
        <f>L605</f>
        <v>206.5</v>
      </c>
      <c r="M604" s="12">
        <f t="shared" si="76"/>
        <v>100</v>
      </c>
      <c r="N604" s="9"/>
    </row>
    <row r="605" spans="1:14" s="28" customFormat="1" ht="63" x14ac:dyDescent="0.2">
      <c r="A605" s="72"/>
      <c r="B605" s="41" t="s">
        <v>237</v>
      </c>
      <c r="C605" s="62">
        <v>925</v>
      </c>
      <c r="D605" s="8" t="s">
        <v>5</v>
      </c>
      <c r="E605" s="8" t="s">
        <v>10</v>
      </c>
      <c r="F605" s="8" t="s">
        <v>106</v>
      </c>
      <c r="G605" s="8" t="s">
        <v>156</v>
      </c>
      <c r="H605" s="5" t="s">
        <v>557</v>
      </c>
      <c r="I605" s="5" t="s">
        <v>557</v>
      </c>
      <c r="J605" s="40" t="s">
        <v>557</v>
      </c>
      <c r="K605" s="12">
        <f>SUM(K606)</f>
        <v>206.5</v>
      </c>
      <c r="L605" s="12">
        <f>SUM(L606)</f>
        <v>206.5</v>
      </c>
      <c r="M605" s="12">
        <f t="shared" si="76"/>
        <v>100</v>
      </c>
      <c r="N605" s="9"/>
    </row>
    <row r="606" spans="1:14" s="28" customFormat="1" ht="63" x14ac:dyDescent="0.2">
      <c r="A606" s="72"/>
      <c r="B606" s="41" t="s">
        <v>179</v>
      </c>
      <c r="C606" s="62">
        <v>925</v>
      </c>
      <c r="D606" s="8" t="s">
        <v>5</v>
      </c>
      <c r="E606" s="8" t="s">
        <v>10</v>
      </c>
      <c r="F606" s="8" t="s">
        <v>106</v>
      </c>
      <c r="G606" s="8" t="s">
        <v>156</v>
      </c>
      <c r="H606" s="8" t="s">
        <v>2</v>
      </c>
      <c r="I606" s="5" t="s">
        <v>557</v>
      </c>
      <c r="J606" s="40" t="s">
        <v>557</v>
      </c>
      <c r="K606" s="12">
        <f>SUM(K607)</f>
        <v>206.5</v>
      </c>
      <c r="L606" s="12">
        <f>SUM(L607)</f>
        <v>206.5</v>
      </c>
      <c r="M606" s="12">
        <f t="shared" si="76"/>
        <v>100</v>
      </c>
      <c r="N606" s="9"/>
    </row>
    <row r="607" spans="1:14" s="28" customFormat="1" ht="47.25" x14ac:dyDescent="0.2">
      <c r="A607" s="72"/>
      <c r="B607" s="41" t="s">
        <v>180</v>
      </c>
      <c r="C607" s="62">
        <v>925</v>
      </c>
      <c r="D607" s="8" t="s">
        <v>5</v>
      </c>
      <c r="E607" s="8" t="s">
        <v>10</v>
      </c>
      <c r="F607" s="8" t="s">
        <v>106</v>
      </c>
      <c r="G607" s="8" t="s">
        <v>156</v>
      </c>
      <c r="H607" s="8" t="s">
        <v>2</v>
      </c>
      <c r="I607" s="8" t="s">
        <v>183</v>
      </c>
      <c r="J607" s="40" t="s">
        <v>557</v>
      </c>
      <c r="K607" s="12">
        <f>SUM(K608:K609)</f>
        <v>206.5</v>
      </c>
      <c r="L607" s="12">
        <f>SUM(L608:L609)</f>
        <v>206.5</v>
      </c>
      <c r="M607" s="12">
        <f t="shared" si="76"/>
        <v>100</v>
      </c>
      <c r="N607" s="9"/>
    </row>
    <row r="608" spans="1:14" s="28" customFormat="1" ht="31.5" x14ac:dyDescent="0.2">
      <c r="A608" s="72"/>
      <c r="B608" s="19" t="s">
        <v>164</v>
      </c>
      <c r="C608" s="62">
        <v>925</v>
      </c>
      <c r="D608" s="8" t="s">
        <v>5</v>
      </c>
      <c r="E608" s="8" t="s">
        <v>10</v>
      </c>
      <c r="F608" s="8" t="s">
        <v>106</v>
      </c>
      <c r="G608" s="8" t="s">
        <v>156</v>
      </c>
      <c r="H608" s="8" t="s">
        <v>2</v>
      </c>
      <c r="I608" s="8" t="s">
        <v>183</v>
      </c>
      <c r="J608" s="61" t="s">
        <v>57</v>
      </c>
      <c r="K608" s="12">
        <f>20+15+71.5+50</f>
        <v>156.5</v>
      </c>
      <c r="L608" s="12">
        <f>20+15+71.5+50</f>
        <v>156.5</v>
      </c>
      <c r="M608" s="12">
        <f t="shared" si="76"/>
        <v>100</v>
      </c>
      <c r="N608" s="9"/>
    </row>
    <row r="609" spans="1:14" s="28" customFormat="1" ht="33.75" customHeight="1" x14ac:dyDescent="0.2">
      <c r="A609" s="72"/>
      <c r="B609" s="19" t="s">
        <v>72</v>
      </c>
      <c r="C609" s="62">
        <v>925</v>
      </c>
      <c r="D609" s="8" t="s">
        <v>5</v>
      </c>
      <c r="E609" s="8" t="s">
        <v>10</v>
      </c>
      <c r="F609" s="8" t="s">
        <v>106</v>
      </c>
      <c r="G609" s="8" t="s">
        <v>156</v>
      </c>
      <c r="H609" s="8" t="s">
        <v>2</v>
      </c>
      <c r="I609" s="8" t="s">
        <v>183</v>
      </c>
      <c r="J609" s="61" t="s">
        <v>73</v>
      </c>
      <c r="K609" s="12">
        <v>50</v>
      </c>
      <c r="L609" s="12">
        <v>50</v>
      </c>
      <c r="M609" s="12">
        <f t="shared" si="76"/>
        <v>100</v>
      </c>
      <c r="N609" s="9"/>
    </row>
    <row r="610" spans="1:14" s="28" customFormat="1" ht="15.6" customHeight="1" x14ac:dyDescent="0.2">
      <c r="A610" s="72"/>
      <c r="B610" s="19" t="s">
        <v>18</v>
      </c>
      <c r="C610" s="62">
        <v>925</v>
      </c>
      <c r="D610" s="8" t="s">
        <v>8</v>
      </c>
      <c r="E610" s="40" t="s">
        <v>557</v>
      </c>
      <c r="F610" s="5" t="s">
        <v>557</v>
      </c>
      <c r="G610" s="40" t="s">
        <v>557</v>
      </c>
      <c r="H610" s="5" t="s">
        <v>557</v>
      </c>
      <c r="I610" s="5" t="s">
        <v>557</v>
      </c>
      <c r="J610" s="40" t="s">
        <v>557</v>
      </c>
      <c r="K610" s="12">
        <f>SUM(K611+K651+K765+K727+K759+K637)</f>
        <v>2753763.7000000007</v>
      </c>
      <c r="L610" s="12">
        <f>SUM(L611+L651+L765+L727+L759+L637)</f>
        <v>2750757.2</v>
      </c>
      <c r="M610" s="12">
        <f t="shared" si="76"/>
        <v>99.890822150063187</v>
      </c>
      <c r="N610" s="9"/>
    </row>
    <row r="611" spans="1:14" s="28" customFormat="1" x14ac:dyDescent="0.2">
      <c r="A611" s="72"/>
      <c r="B611" s="19" t="s">
        <v>25</v>
      </c>
      <c r="C611" s="62">
        <v>925</v>
      </c>
      <c r="D611" s="61" t="s">
        <v>8</v>
      </c>
      <c r="E611" s="61" t="s">
        <v>2</v>
      </c>
      <c r="F611" s="5" t="s">
        <v>557</v>
      </c>
      <c r="G611" s="40" t="s">
        <v>557</v>
      </c>
      <c r="H611" s="5" t="s">
        <v>557</v>
      </c>
      <c r="I611" s="5" t="s">
        <v>557</v>
      </c>
      <c r="J611" s="40" t="s">
        <v>557</v>
      </c>
      <c r="K611" s="12">
        <f>SUM(K612+K642+K632)</f>
        <v>923941.89999999991</v>
      </c>
      <c r="L611" s="12">
        <f>SUM(L612+L642+L632)</f>
        <v>923941.79999999993</v>
      </c>
      <c r="M611" s="12">
        <f t="shared" si="76"/>
        <v>99.99998917680864</v>
      </c>
      <c r="N611" s="9"/>
    </row>
    <row r="612" spans="1:14" s="28" customFormat="1" ht="32.25" customHeight="1" x14ac:dyDescent="0.2">
      <c r="A612" s="72"/>
      <c r="B612" s="41" t="s">
        <v>198</v>
      </c>
      <c r="C612" s="62">
        <v>925</v>
      </c>
      <c r="D612" s="61" t="s">
        <v>8</v>
      </c>
      <c r="E612" s="61" t="s">
        <v>2</v>
      </c>
      <c r="F612" s="61" t="s">
        <v>2</v>
      </c>
      <c r="G612" s="40" t="s">
        <v>557</v>
      </c>
      <c r="H612" s="5" t="s">
        <v>557</v>
      </c>
      <c r="I612" s="5" t="s">
        <v>557</v>
      </c>
      <c r="J612" s="40" t="s">
        <v>557</v>
      </c>
      <c r="K612" s="12">
        <f t="shared" ref="K612:L612" si="81">SUM(K613)</f>
        <v>795372.49999999988</v>
      </c>
      <c r="L612" s="12">
        <f t="shared" si="81"/>
        <v>795372.39999999991</v>
      </c>
      <c r="M612" s="12">
        <f t="shared" si="76"/>
        <v>99.999987427274633</v>
      </c>
      <c r="N612" s="9"/>
    </row>
    <row r="613" spans="1:14" s="28" customFormat="1" ht="48" customHeight="1" x14ac:dyDescent="0.2">
      <c r="A613" s="72"/>
      <c r="B613" s="41" t="s">
        <v>259</v>
      </c>
      <c r="C613" s="62">
        <v>925</v>
      </c>
      <c r="D613" s="61" t="s">
        <v>8</v>
      </c>
      <c r="E613" s="61" t="s">
        <v>2</v>
      </c>
      <c r="F613" s="61" t="s">
        <v>2</v>
      </c>
      <c r="G613" s="62">
        <v>1</v>
      </c>
      <c r="H613" s="5" t="s">
        <v>557</v>
      </c>
      <c r="I613" s="5" t="s">
        <v>557</v>
      </c>
      <c r="J613" s="40" t="s">
        <v>557</v>
      </c>
      <c r="K613" s="12">
        <f>SUM(K614+K619+K622+K629)</f>
        <v>795372.49999999988</v>
      </c>
      <c r="L613" s="12">
        <f>SUM(L614+L619+L622+L629)</f>
        <v>795372.39999999991</v>
      </c>
      <c r="M613" s="12">
        <f t="shared" si="76"/>
        <v>99.999987427274633</v>
      </c>
      <c r="N613" s="9"/>
    </row>
    <row r="614" spans="1:14" s="28" customFormat="1" ht="79.5" customHeight="1" x14ac:dyDescent="0.2">
      <c r="A614" s="72"/>
      <c r="B614" s="41" t="s">
        <v>148</v>
      </c>
      <c r="C614" s="62">
        <v>925</v>
      </c>
      <c r="D614" s="61" t="s">
        <v>8</v>
      </c>
      <c r="E614" s="61" t="s">
        <v>2</v>
      </c>
      <c r="F614" s="61" t="s">
        <v>2</v>
      </c>
      <c r="G614" s="62">
        <v>1</v>
      </c>
      <c r="H614" s="61" t="s">
        <v>2</v>
      </c>
      <c r="I614" s="5" t="s">
        <v>557</v>
      </c>
      <c r="J614" s="40" t="s">
        <v>557</v>
      </c>
      <c r="K614" s="12">
        <f>K617+K615</f>
        <v>655</v>
      </c>
      <c r="L614" s="12">
        <f>L617+L615</f>
        <v>655</v>
      </c>
      <c r="M614" s="12">
        <f t="shared" si="76"/>
        <v>100</v>
      </c>
      <c r="N614" s="9"/>
    </row>
    <row r="615" spans="1:14" s="28" customFormat="1" ht="47.25" x14ac:dyDescent="0.2">
      <c r="A615" s="72"/>
      <c r="B615" s="41" t="s">
        <v>466</v>
      </c>
      <c r="C615" s="62">
        <v>925</v>
      </c>
      <c r="D615" s="61" t="s">
        <v>8</v>
      </c>
      <c r="E615" s="61" t="s">
        <v>2</v>
      </c>
      <c r="F615" s="8" t="s">
        <v>2</v>
      </c>
      <c r="G615" s="8" t="s">
        <v>116</v>
      </c>
      <c r="H615" s="8" t="s">
        <v>2</v>
      </c>
      <c r="I615" s="8" t="s">
        <v>467</v>
      </c>
      <c r="J615" s="40" t="s">
        <v>557</v>
      </c>
      <c r="K615" s="12">
        <f>K616</f>
        <v>555</v>
      </c>
      <c r="L615" s="12">
        <f>L616</f>
        <v>555</v>
      </c>
      <c r="M615" s="12">
        <f t="shared" si="76"/>
        <v>100</v>
      </c>
      <c r="N615" s="9"/>
    </row>
    <row r="616" spans="1:14" s="28" customFormat="1" ht="35.25" customHeight="1" x14ac:dyDescent="0.2">
      <c r="A616" s="72"/>
      <c r="B616" s="19" t="s">
        <v>72</v>
      </c>
      <c r="C616" s="62">
        <v>925</v>
      </c>
      <c r="D616" s="61" t="s">
        <v>8</v>
      </c>
      <c r="E616" s="61" t="s">
        <v>2</v>
      </c>
      <c r="F616" s="8" t="s">
        <v>2</v>
      </c>
      <c r="G616" s="8" t="s">
        <v>116</v>
      </c>
      <c r="H616" s="8" t="s">
        <v>2</v>
      </c>
      <c r="I616" s="8" t="s">
        <v>467</v>
      </c>
      <c r="J616" s="61" t="s">
        <v>73</v>
      </c>
      <c r="K616" s="12">
        <v>555</v>
      </c>
      <c r="L616" s="12">
        <v>555</v>
      </c>
      <c r="M616" s="12">
        <f t="shared" si="76"/>
        <v>100</v>
      </c>
      <c r="N616" s="9"/>
    </row>
    <row r="617" spans="1:14" s="28" customFormat="1" ht="47.25" x14ac:dyDescent="0.2">
      <c r="A617" s="72"/>
      <c r="B617" s="41" t="s">
        <v>475</v>
      </c>
      <c r="C617" s="62">
        <v>925</v>
      </c>
      <c r="D617" s="61" t="s">
        <v>8</v>
      </c>
      <c r="E617" s="61" t="s">
        <v>2</v>
      </c>
      <c r="F617" s="61" t="s">
        <v>2</v>
      </c>
      <c r="G617" s="62">
        <v>1</v>
      </c>
      <c r="H617" s="61" t="s">
        <v>2</v>
      </c>
      <c r="I617" s="61" t="s">
        <v>474</v>
      </c>
      <c r="J617" s="40" t="s">
        <v>557</v>
      </c>
      <c r="K617" s="12">
        <f>SUM(K618)</f>
        <v>100</v>
      </c>
      <c r="L617" s="12">
        <f>SUM(L618)</f>
        <v>100</v>
      </c>
      <c r="M617" s="12">
        <f t="shared" si="76"/>
        <v>100</v>
      </c>
      <c r="N617" s="9"/>
    </row>
    <row r="618" spans="1:14" s="28" customFormat="1" ht="34.5" customHeight="1" x14ac:dyDescent="0.2">
      <c r="A618" s="72"/>
      <c r="B618" s="19" t="s">
        <v>72</v>
      </c>
      <c r="C618" s="62">
        <v>925</v>
      </c>
      <c r="D618" s="61" t="s">
        <v>8</v>
      </c>
      <c r="E618" s="61" t="s">
        <v>2</v>
      </c>
      <c r="F618" s="61" t="s">
        <v>2</v>
      </c>
      <c r="G618" s="62">
        <v>1</v>
      </c>
      <c r="H618" s="61" t="s">
        <v>2</v>
      </c>
      <c r="I618" s="61" t="s">
        <v>474</v>
      </c>
      <c r="J618" s="61" t="s">
        <v>73</v>
      </c>
      <c r="K618" s="12">
        <v>100</v>
      </c>
      <c r="L618" s="12">
        <v>100</v>
      </c>
      <c r="M618" s="12">
        <f t="shared" si="76"/>
        <v>100</v>
      </c>
      <c r="N618" s="9"/>
    </row>
    <row r="619" spans="1:14" s="28" customFormat="1" ht="79.5" customHeight="1" x14ac:dyDescent="0.2">
      <c r="A619" s="72"/>
      <c r="B619" s="41" t="s">
        <v>142</v>
      </c>
      <c r="C619" s="62">
        <v>925</v>
      </c>
      <c r="D619" s="61" t="s">
        <v>8</v>
      </c>
      <c r="E619" s="61" t="s">
        <v>2</v>
      </c>
      <c r="F619" s="61" t="s">
        <v>2</v>
      </c>
      <c r="G619" s="62">
        <v>1</v>
      </c>
      <c r="H619" s="61" t="s">
        <v>6</v>
      </c>
      <c r="I619" s="5" t="s">
        <v>557</v>
      </c>
      <c r="J619" s="40" t="s">
        <v>557</v>
      </c>
      <c r="K619" s="12">
        <f t="shared" ref="K619:L620" si="82">SUM(K620)</f>
        <v>484.70000000000005</v>
      </c>
      <c r="L619" s="12">
        <f t="shared" si="82"/>
        <v>484.70000000000005</v>
      </c>
      <c r="M619" s="12">
        <f t="shared" si="76"/>
        <v>100</v>
      </c>
      <c r="N619" s="9"/>
    </row>
    <row r="620" spans="1:14" s="28" customFormat="1" ht="149.25" customHeight="1" x14ac:dyDescent="0.2">
      <c r="A620" s="72"/>
      <c r="B620" s="53" t="s">
        <v>321</v>
      </c>
      <c r="C620" s="62">
        <v>925</v>
      </c>
      <c r="D620" s="61" t="s">
        <v>8</v>
      </c>
      <c r="E620" s="61" t="s">
        <v>2</v>
      </c>
      <c r="F620" s="61" t="s">
        <v>2</v>
      </c>
      <c r="G620" s="62">
        <v>1</v>
      </c>
      <c r="H620" s="61" t="s">
        <v>6</v>
      </c>
      <c r="I620" s="61" t="s">
        <v>143</v>
      </c>
      <c r="J620" s="40" t="s">
        <v>557</v>
      </c>
      <c r="K620" s="12">
        <f t="shared" si="82"/>
        <v>484.70000000000005</v>
      </c>
      <c r="L620" s="12">
        <f t="shared" si="82"/>
        <v>484.70000000000005</v>
      </c>
      <c r="M620" s="12">
        <f t="shared" si="76"/>
        <v>100</v>
      </c>
      <c r="N620" s="9"/>
    </row>
    <row r="621" spans="1:14" s="28" customFormat="1" ht="37.5" customHeight="1" x14ac:dyDescent="0.2">
      <c r="A621" s="72"/>
      <c r="B621" s="44" t="s">
        <v>162</v>
      </c>
      <c r="C621" s="62">
        <v>925</v>
      </c>
      <c r="D621" s="61" t="s">
        <v>8</v>
      </c>
      <c r="E621" s="61" t="s">
        <v>2</v>
      </c>
      <c r="F621" s="61" t="s">
        <v>2</v>
      </c>
      <c r="G621" s="62">
        <v>1</v>
      </c>
      <c r="H621" s="61" t="s">
        <v>6</v>
      </c>
      <c r="I621" s="61" t="s">
        <v>143</v>
      </c>
      <c r="J621" s="61" t="s">
        <v>73</v>
      </c>
      <c r="K621" s="12">
        <f>456.6+43.6+53.5-69</f>
        <v>484.70000000000005</v>
      </c>
      <c r="L621" s="12">
        <f>456.6+43.6+53.5-69</f>
        <v>484.70000000000005</v>
      </c>
      <c r="M621" s="12">
        <f t="shared" si="76"/>
        <v>100</v>
      </c>
      <c r="N621" s="9"/>
    </row>
    <row r="622" spans="1:14" s="28" customFormat="1" ht="78.75" x14ac:dyDescent="0.2">
      <c r="A622" s="72"/>
      <c r="B622" s="44" t="s">
        <v>144</v>
      </c>
      <c r="C622" s="62">
        <v>925</v>
      </c>
      <c r="D622" s="61" t="s">
        <v>8</v>
      </c>
      <c r="E622" s="61" t="s">
        <v>2</v>
      </c>
      <c r="F622" s="61" t="s">
        <v>2</v>
      </c>
      <c r="G622" s="62">
        <v>1</v>
      </c>
      <c r="H622" s="61" t="s">
        <v>7</v>
      </c>
      <c r="I622" s="5" t="s">
        <v>557</v>
      </c>
      <c r="J622" s="40" t="s">
        <v>557</v>
      </c>
      <c r="K622" s="12">
        <f>SUM(K627+K623+K625)</f>
        <v>793859.29999999993</v>
      </c>
      <c r="L622" s="12">
        <f>SUM(L627+L623+L625)</f>
        <v>793859.2</v>
      </c>
      <c r="M622" s="12">
        <f t="shared" si="76"/>
        <v>99.999987403309376</v>
      </c>
      <c r="N622" s="9"/>
    </row>
    <row r="623" spans="1:14" s="28" customFormat="1" ht="63" x14ac:dyDescent="0.2">
      <c r="A623" s="72"/>
      <c r="B623" s="44" t="s">
        <v>145</v>
      </c>
      <c r="C623" s="62">
        <v>925</v>
      </c>
      <c r="D623" s="61" t="s">
        <v>8</v>
      </c>
      <c r="E623" s="61" t="s">
        <v>2</v>
      </c>
      <c r="F623" s="61" t="s">
        <v>2</v>
      </c>
      <c r="G623" s="62">
        <v>1</v>
      </c>
      <c r="H623" s="61" t="s">
        <v>7</v>
      </c>
      <c r="I623" s="61" t="s">
        <v>111</v>
      </c>
      <c r="J623" s="40" t="s">
        <v>557</v>
      </c>
      <c r="K623" s="12">
        <f>SUM(K624)</f>
        <v>260533.7</v>
      </c>
      <c r="L623" s="12">
        <f>SUM(L624)</f>
        <v>260533.6</v>
      </c>
      <c r="M623" s="12">
        <f t="shared" si="76"/>
        <v>99.999961617249511</v>
      </c>
      <c r="N623" s="9"/>
    </row>
    <row r="624" spans="1:14" s="28" customFormat="1" ht="36.75" customHeight="1" x14ac:dyDescent="0.2">
      <c r="A624" s="72"/>
      <c r="B624" s="44" t="s">
        <v>72</v>
      </c>
      <c r="C624" s="62">
        <v>925</v>
      </c>
      <c r="D624" s="61" t="s">
        <v>8</v>
      </c>
      <c r="E624" s="61" t="s">
        <v>2</v>
      </c>
      <c r="F624" s="61" t="s">
        <v>2</v>
      </c>
      <c r="G624" s="62">
        <v>1</v>
      </c>
      <c r="H624" s="61" t="s">
        <v>7</v>
      </c>
      <c r="I624" s="61" t="s">
        <v>111</v>
      </c>
      <c r="J624" s="61" t="s">
        <v>73</v>
      </c>
      <c r="K624" s="12">
        <v>260533.7</v>
      </c>
      <c r="L624" s="12">
        <v>260533.6</v>
      </c>
      <c r="M624" s="12">
        <f t="shared" si="76"/>
        <v>99.999961617249511</v>
      </c>
      <c r="N624" s="9"/>
    </row>
    <row r="625" spans="1:14" s="28" customFormat="1" ht="31.5" x14ac:dyDescent="0.2">
      <c r="A625" s="72"/>
      <c r="B625" s="19" t="s">
        <v>344</v>
      </c>
      <c r="C625" s="62">
        <v>925</v>
      </c>
      <c r="D625" s="61" t="s">
        <v>8</v>
      </c>
      <c r="E625" s="61" t="s">
        <v>2</v>
      </c>
      <c r="F625" s="8" t="s">
        <v>2</v>
      </c>
      <c r="G625" s="8" t="s">
        <v>116</v>
      </c>
      <c r="H625" s="8" t="s">
        <v>7</v>
      </c>
      <c r="I625" s="8" t="s">
        <v>320</v>
      </c>
      <c r="J625" s="40" t="s">
        <v>557</v>
      </c>
      <c r="K625" s="12">
        <f>K626</f>
        <v>2055.4</v>
      </c>
      <c r="L625" s="12">
        <f>L626</f>
        <v>2055.4</v>
      </c>
      <c r="M625" s="12">
        <f t="shared" si="76"/>
        <v>100</v>
      </c>
      <c r="N625" s="9"/>
    </row>
    <row r="626" spans="1:14" s="28" customFormat="1" ht="36.75" customHeight="1" x14ac:dyDescent="0.2">
      <c r="A626" s="72"/>
      <c r="B626" s="19" t="s">
        <v>72</v>
      </c>
      <c r="C626" s="62">
        <v>925</v>
      </c>
      <c r="D626" s="61" t="s">
        <v>8</v>
      </c>
      <c r="E626" s="61" t="s">
        <v>2</v>
      </c>
      <c r="F626" s="8" t="s">
        <v>2</v>
      </c>
      <c r="G626" s="8" t="s">
        <v>116</v>
      </c>
      <c r="H626" s="8" t="s">
        <v>7</v>
      </c>
      <c r="I626" s="8" t="s">
        <v>320</v>
      </c>
      <c r="J626" s="61" t="s">
        <v>73</v>
      </c>
      <c r="K626" s="12">
        <f>2428.8-322-51.4</f>
        <v>2055.4</v>
      </c>
      <c r="L626" s="12">
        <f>2428.8-322-51.4</f>
        <v>2055.4</v>
      </c>
      <c r="M626" s="12">
        <f t="shared" ref="M626:M684" si="83">SUM(L626/K626*100)</f>
        <v>100</v>
      </c>
      <c r="N626" s="9"/>
    </row>
    <row r="627" spans="1:14" s="28" customFormat="1" ht="94.5" x14ac:dyDescent="0.2">
      <c r="A627" s="72"/>
      <c r="B627" s="44" t="s">
        <v>324</v>
      </c>
      <c r="C627" s="62">
        <v>925</v>
      </c>
      <c r="D627" s="61" t="s">
        <v>8</v>
      </c>
      <c r="E627" s="61" t="s">
        <v>2</v>
      </c>
      <c r="F627" s="61" t="s">
        <v>2</v>
      </c>
      <c r="G627" s="62">
        <v>1</v>
      </c>
      <c r="H627" s="61" t="s">
        <v>7</v>
      </c>
      <c r="I627" s="61" t="s">
        <v>146</v>
      </c>
      <c r="J627" s="40" t="s">
        <v>557</v>
      </c>
      <c r="K627" s="12">
        <f>SUM(K628)</f>
        <v>531270.19999999995</v>
      </c>
      <c r="L627" s="12">
        <f>SUM(L628)</f>
        <v>531270.19999999995</v>
      </c>
      <c r="M627" s="12">
        <f t="shared" si="83"/>
        <v>100</v>
      </c>
      <c r="N627" s="9"/>
    </row>
    <row r="628" spans="1:14" s="28" customFormat="1" ht="34.5" customHeight="1" x14ac:dyDescent="0.2">
      <c r="A628" s="72"/>
      <c r="B628" s="44" t="s">
        <v>162</v>
      </c>
      <c r="C628" s="62">
        <v>925</v>
      </c>
      <c r="D628" s="61" t="s">
        <v>8</v>
      </c>
      <c r="E628" s="61" t="s">
        <v>2</v>
      </c>
      <c r="F628" s="61" t="s">
        <v>2</v>
      </c>
      <c r="G628" s="62">
        <v>1</v>
      </c>
      <c r="H628" s="61" t="s">
        <v>7</v>
      </c>
      <c r="I628" s="61" t="s">
        <v>146</v>
      </c>
      <c r="J628" s="61" t="s">
        <v>73</v>
      </c>
      <c r="K628" s="12">
        <f>437580+12573.3-1899.2+621.1+31536.4+887+23990.4+1989.1+62.6+2590.3+19074+2265.2</f>
        <v>531270.19999999995</v>
      </c>
      <c r="L628" s="12">
        <f>437580+12573.3-1899.2+621.1+31536.4+887+23990.4+1989.1+62.6+2590.3+19074+2265.2</f>
        <v>531270.19999999995</v>
      </c>
      <c r="M628" s="12">
        <f t="shared" si="83"/>
        <v>100</v>
      </c>
      <c r="N628" s="9"/>
    </row>
    <row r="629" spans="1:14" s="28" customFormat="1" ht="31.5" x14ac:dyDescent="0.2">
      <c r="A629" s="72"/>
      <c r="B629" s="19" t="s">
        <v>149</v>
      </c>
      <c r="C629" s="62">
        <v>925</v>
      </c>
      <c r="D629" s="61" t="s">
        <v>8</v>
      </c>
      <c r="E629" s="61" t="s">
        <v>2</v>
      </c>
      <c r="F629" s="8" t="s">
        <v>2</v>
      </c>
      <c r="G629" s="8" t="s">
        <v>116</v>
      </c>
      <c r="H629" s="8" t="s">
        <v>30</v>
      </c>
      <c r="I629" s="5" t="s">
        <v>557</v>
      </c>
      <c r="J629" s="40" t="s">
        <v>557</v>
      </c>
      <c r="K629" s="12">
        <f>SUM(K630)</f>
        <v>373.5</v>
      </c>
      <c r="L629" s="12">
        <f>SUM(L630)</f>
        <v>373.5</v>
      </c>
      <c r="M629" s="12">
        <f t="shared" si="83"/>
        <v>100</v>
      </c>
      <c r="N629" s="9"/>
    </row>
    <row r="630" spans="1:14" s="28" customFormat="1" ht="126" x14ac:dyDescent="0.2">
      <c r="A630" s="72"/>
      <c r="B630" s="19" t="s">
        <v>425</v>
      </c>
      <c r="C630" s="62">
        <v>925</v>
      </c>
      <c r="D630" s="61" t="s">
        <v>8</v>
      </c>
      <c r="E630" s="61" t="s">
        <v>2</v>
      </c>
      <c r="F630" s="8" t="s">
        <v>2</v>
      </c>
      <c r="G630" s="8" t="s">
        <v>116</v>
      </c>
      <c r="H630" s="8" t="s">
        <v>30</v>
      </c>
      <c r="I630" s="8" t="s">
        <v>335</v>
      </c>
      <c r="J630" s="40" t="s">
        <v>557</v>
      </c>
      <c r="K630" s="12">
        <f>K631</f>
        <v>373.5</v>
      </c>
      <c r="L630" s="12">
        <f>L631</f>
        <v>373.5</v>
      </c>
      <c r="M630" s="12">
        <f t="shared" si="83"/>
        <v>100</v>
      </c>
      <c r="N630" s="9"/>
    </row>
    <row r="631" spans="1:14" s="28" customFormat="1" ht="38.25" customHeight="1" x14ac:dyDescent="0.2">
      <c r="A631" s="72"/>
      <c r="B631" s="19" t="s">
        <v>162</v>
      </c>
      <c r="C631" s="62">
        <v>925</v>
      </c>
      <c r="D631" s="61" t="s">
        <v>8</v>
      </c>
      <c r="E631" s="61" t="s">
        <v>2</v>
      </c>
      <c r="F631" s="8" t="s">
        <v>2</v>
      </c>
      <c r="G631" s="8" t="s">
        <v>116</v>
      </c>
      <c r="H631" s="8" t="s">
        <v>30</v>
      </c>
      <c r="I631" s="8" t="s">
        <v>335</v>
      </c>
      <c r="J631" s="61" t="s">
        <v>73</v>
      </c>
      <c r="K631" s="12">
        <v>373.5</v>
      </c>
      <c r="L631" s="12">
        <v>373.5</v>
      </c>
      <c r="M631" s="12">
        <f t="shared" si="83"/>
        <v>100</v>
      </c>
      <c r="N631" s="9"/>
    </row>
    <row r="632" spans="1:14" s="28" customFormat="1" ht="31.5" x14ac:dyDescent="0.2">
      <c r="A632" s="72"/>
      <c r="B632" s="41" t="s">
        <v>314</v>
      </c>
      <c r="C632" s="62">
        <v>925</v>
      </c>
      <c r="D632" s="61" t="s">
        <v>8</v>
      </c>
      <c r="E632" s="61" t="s">
        <v>2</v>
      </c>
      <c r="F632" s="8" t="s">
        <v>4</v>
      </c>
      <c r="G632" s="40" t="s">
        <v>557</v>
      </c>
      <c r="H632" s="5" t="s">
        <v>557</v>
      </c>
      <c r="I632" s="5" t="s">
        <v>557</v>
      </c>
      <c r="J632" s="40" t="s">
        <v>557</v>
      </c>
      <c r="K632" s="12">
        <f t="shared" ref="K632:L635" si="84">K633</f>
        <v>65949.399999999994</v>
      </c>
      <c r="L632" s="12">
        <f t="shared" si="84"/>
        <v>65949.399999999994</v>
      </c>
      <c r="M632" s="12">
        <f t="shared" si="83"/>
        <v>100</v>
      </c>
      <c r="N632" s="9"/>
    </row>
    <row r="633" spans="1:14" s="28" customFormat="1" ht="31.5" x14ac:dyDescent="0.2">
      <c r="A633" s="72"/>
      <c r="B633" s="41" t="s">
        <v>136</v>
      </c>
      <c r="C633" s="62">
        <v>925</v>
      </c>
      <c r="D633" s="61" t="s">
        <v>8</v>
      </c>
      <c r="E633" s="61" t="s">
        <v>2</v>
      </c>
      <c r="F633" s="8" t="s">
        <v>4</v>
      </c>
      <c r="G633" s="8" t="s">
        <v>116</v>
      </c>
      <c r="H633" s="5" t="s">
        <v>557</v>
      </c>
      <c r="I633" s="5" t="s">
        <v>557</v>
      </c>
      <c r="J633" s="40" t="s">
        <v>557</v>
      </c>
      <c r="K633" s="12">
        <f t="shared" si="84"/>
        <v>65949.399999999994</v>
      </c>
      <c r="L633" s="12">
        <f t="shared" si="84"/>
        <v>65949.399999999994</v>
      </c>
      <c r="M633" s="12">
        <f t="shared" si="83"/>
        <v>100</v>
      </c>
      <c r="N633" s="9"/>
    </row>
    <row r="634" spans="1:14" s="28" customFormat="1" ht="78.75" x14ac:dyDescent="0.2">
      <c r="A634" s="72"/>
      <c r="B634" s="41" t="s">
        <v>137</v>
      </c>
      <c r="C634" s="62">
        <v>925</v>
      </c>
      <c r="D634" s="61" t="s">
        <v>8</v>
      </c>
      <c r="E634" s="61" t="s">
        <v>2</v>
      </c>
      <c r="F634" s="8" t="s">
        <v>4</v>
      </c>
      <c r="G634" s="8" t="s">
        <v>116</v>
      </c>
      <c r="H634" s="8" t="s">
        <v>2</v>
      </c>
      <c r="I634" s="5" t="s">
        <v>557</v>
      </c>
      <c r="J634" s="40" t="s">
        <v>557</v>
      </c>
      <c r="K634" s="12">
        <f t="shared" si="84"/>
        <v>65949.399999999994</v>
      </c>
      <c r="L634" s="12">
        <f t="shared" si="84"/>
        <v>65949.399999999994</v>
      </c>
      <c r="M634" s="12">
        <f t="shared" si="83"/>
        <v>100</v>
      </c>
      <c r="N634" s="9"/>
    </row>
    <row r="635" spans="1:14" s="28" customFormat="1" ht="47.25" x14ac:dyDescent="0.2">
      <c r="A635" s="72"/>
      <c r="B635" s="41" t="s">
        <v>351</v>
      </c>
      <c r="C635" s="62">
        <v>925</v>
      </c>
      <c r="D635" s="61" t="s">
        <v>8</v>
      </c>
      <c r="E635" s="61" t="s">
        <v>2</v>
      </c>
      <c r="F635" s="8" t="s">
        <v>4</v>
      </c>
      <c r="G635" s="8" t="s">
        <v>116</v>
      </c>
      <c r="H635" s="8" t="s">
        <v>2</v>
      </c>
      <c r="I635" s="8" t="s">
        <v>313</v>
      </c>
      <c r="J635" s="40" t="s">
        <v>557</v>
      </c>
      <c r="K635" s="12">
        <f t="shared" si="84"/>
        <v>65949.399999999994</v>
      </c>
      <c r="L635" s="12">
        <f t="shared" si="84"/>
        <v>65949.399999999994</v>
      </c>
      <c r="M635" s="12">
        <f t="shared" si="83"/>
        <v>100</v>
      </c>
      <c r="N635" s="9"/>
    </row>
    <row r="636" spans="1:14" s="28" customFormat="1" ht="35.25" customHeight="1" x14ac:dyDescent="0.2">
      <c r="A636" s="72"/>
      <c r="B636" s="19" t="s">
        <v>315</v>
      </c>
      <c r="C636" s="62">
        <v>925</v>
      </c>
      <c r="D636" s="61" t="s">
        <v>8</v>
      </c>
      <c r="E636" s="61" t="s">
        <v>2</v>
      </c>
      <c r="F636" s="8" t="s">
        <v>4</v>
      </c>
      <c r="G636" s="8" t="s">
        <v>116</v>
      </c>
      <c r="H636" s="8" t="s">
        <v>2</v>
      </c>
      <c r="I636" s="8" t="s">
        <v>313</v>
      </c>
      <c r="J636" s="61" t="s">
        <v>73</v>
      </c>
      <c r="K636" s="12">
        <f>5751.3+1564.8+829+1739+356.7+1104.3+481.3+168.9+338.4+1577.5+1441.1+4586.5+0.1+313.2-4586.5-1441.1-0.1-7430+150+3520.1+3668+905.6+1952+1036-0.1+165.2+323.1+466+460-1073.7+48179.7-596.9</f>
        <v>65949.399999999994</v>
      </c>
      <c r="L636" s="12">
        <f>5751.3+1564.8+829+1739+356.7+1104.3+481.3+168.9+338.4+1577.5+1441.1+4586.5+0.1+313.2-4586.5-1441.1-0.1-7430+150+3520.1+3668+905.6+1952+1036-0.1+165.2+323.1+466+460-1073.7+48179.7-596.9</f>
        <v>65949.399999999994</v>
      </c>
      <c r="M636" s="12">
        <f t="shared" si="83"/>
        <v>100</v>
      </c>
      <c r="N636" s="9"/>
    </row>
    <row r="637" spans="1:14" s="28" customFormat="1" ht="47.25" x14ac:dyDescent="0.2">
      <c r="A637" s="72"/>
      <c r="B637" s="41" t="s">
        <v>230</v>
      </c>
      <c r="C637" s="62">
        <v>925</v>
      </c>
      <c r="D637" s="61" t="s">
        <v>8</v>
      </c>
      <c r="E637" s="61" t="s">
        <v>2</v>
      </c>
      <c r="F637" s="8" t="s">
        <v>30</v>
      </c>
      <c r="G637" s="40" t="s">
        <v>557</v>
      </c>
      <c r="H637" s="5" t="s">
        <v>557</v>
      </c>
      <c r="I637" s="5" t="s">
        <v>557</v>
      </c>
      <c r="J637" s="40" t="s">
        <v>557</v>
      </c>
      <c r="K637" s="12">
        <f t="shared" ref="K637:L640" si="85">K638</f>
        <v>659.4</v>
      </c>
      <c r="L637" s="12">
        <f t="shared" si="85"/>
        <v>659.4</v>
      </c>
      <c r="M637" s="12">
        <f t="shared" si="83"/>
        <v>100</v>
      </c>
      <c r="N637" s="9"/>
    </row>
    <row r="638" spans="1:14" s="28" customFormat="1" ht="52.5" customHeight="1" x14ac:dyDescent="0.2">
      <c r="A638" s="72"/>
      <c r="B638" s="52" t="s">
        <v>258</v>
      </c>
      <c r="C638" s="62">
        <v>925</v>
      </c>
      <c r="D638" s="61" t="s">
        <v>8</v>
      </c>
      <c r="E638" s="61" t="s">
        <v>2</v>
      </c>
      <c r="F638" s="8" t="s">
        <v>30</v>
      </c>
      <c r="G638" s="8" t="s">
        <v>116</v>
      </c>
      <c r="H638" s="5" t="s">
        <v>557</v>
      </c>
      <c r="I638" s="5" t="s">
        <v>557</v>
      </c>
      <c r="J638" s="40" t="s">
        <v>557</v>
      </c>
      <c r="K638" s="12">
        <f t="shared" si="85"/>
        <v>659.4</v>
      </c>
      <c r="L638" s="12">
        <f t="shared" si="85"/>
        <v>659.4</v>
      </c>
      <c r="M638" s="12">
        <f t="shared" si="83"/>
        <v>100</v>
      </c>
      <c r="N638" s="9"/>
    </row>
    <row r="639" spans="1:14" s="28" customFormat="1" ht="49.5" customHeight="1" x14ac:dyDescent="0.2">
      <c r="A639" s="72"/>
      <c r="B639" s="41" t="s">
        <v>102</v>
      </c>
      <c r="C639" s="62">
        <v>925</v>
      </c>
      <c r="D639" s="61" t="s">
        <v>8</v>
      </c>
      <c r="E639" s="61" t="s">
        <v>2</v>
      </c>
      <c r="F639" s="8" t="s">
        <v>30</v>
      </c>
      <c r="G639" s="8" t="s">
        <v>116</v>
      </c>
      <c r="H639" s="8" t="s">
        <v>2</v>
      </c>
      <c r="I639" s="5" t="s">
        <v>557</v>
      </c>
      <c r="J639" s="40" t="s">
        <v>557</v>
      </c>
      <c r="K639" s="12">
        <f t="shared" si="85"/>
        <v>659.4</v>
      </c>
      <c r="L639" s="12">
        <f t="shared" si="85"/>
        <v>659.4</v>
      </c>
      <c r="M639" s="12">
        <f t="shared" si="83"/>
        <v>100</v>
      </c>
      <c r="N639" s="9"/>
    </row>
    <row r="640" spans="1:14" s="28" customFormat="1" ht="31.5" x14ac:dyDescent="0.2">
      <c r="A640" s="72"/>
      <c r="B640" s="41" t="s">
        <v>532</v>
      </c>
      <c r="C640" s="62">
        <v>925</v>
      </c>
      <c r="D640" s="61" t="s">
        <v>8</v>
      </c>
      <c r="E640" s="61" t="s">
        <v>2</v>
      </c>
      <c r="F640" s="8" t="s">
        <v>30</v>
      </c>
      <c r="G640" s="8" t="s">
        <v>116</v>
      </c>
      <c r="H640" s="8" t="s">
        <v>2</v>
      </c>
      <c r="I640" s="8" t="s">
        <v>533</v>
      </c>
      <c r="J640" s="40" t="s">
        <v>557</v>
      </c>
      <c r="K640" s="12">
        <f t="shared" si="85"/>
        <v>659.4</v>
      </c>
      <c r="L640" s="12">
        <f t="shared" si="85"/>
        <v>659.4</v>
      </c>
      <c r="M640" s="12">
        <f t="shared" si="83"/>
        <v>100</v>
      </c>
      <c r="N640" s="9"/>
    </row>
    <row r="641" spans="1:14" s="28" customFormat="1" ht="34.5" customHeight="1" x14ac:dyDescent="0.2">
      <c r="A641" s="72"/>
      <c r="B641" s="41" t="s">
        <v>72</v>
      </c>
      <c r="C641" s="62">
        <v>925</v>
      </c>
      <c r="D641" s="61" t="s">
        <v>8</v>
      </c>
      <c r="E641" s="61" t="s">
        <v>2</v>
      </c>
      <c r="F641" s="8" t="s">
        <v>30</v>
      </c>
      <c r="G641" s="8" t="s">
        <v>116</v>
      </c>
      <c r="H641" s="8" t="s">
        <v>2</v>
      </c>
      <c r="I641" s="8" t="s">
        <v>533</v>
      </c>
      <c r="J641" s="61" t="s">
        <v>73</v>
      </c>
      <c r="K641" s="12">
        <v>659.4</v>
      </c>
      <c r="L641" s="12">
        <v>659.4</v>
      </c>
      <c r="M641" s="12">
        <f t="shared" si="83"/>
        <v>100</v>
      </c>
      <c r="N641" s="9"/>
    </row>
    <row r="642" spans="1:14" s="28" customFormat="1" ht="47.25" x14ac:dyDescent="0.2">
      <c r="A642" s="72"/>
      <c r="B642" s="41" t="s">
        <v>196</v>
      </c>
      <c r="C642" s="62">
        <v>925</v>
      </c>
      <c r="D642" s="61" t="s">
        <v>8</v>
      </c>
      <c r="E642" s="61" t="s">
        <v>2</v>
      </c>
      <c r="F642" s="61" t="s">
        <v>41</v>
      </c>
      <c r="G642" s="40" t="s">
        <v>557</v>
      </c>
      <c r="H642" s="5" t="s">
        <v>557</v>
      </c>
      <c r="I642" s="5" t="s">
        <v>557</v>
      </c>
      <c r="J642" s="40" t="s">
        <v>557</v>
      </c>
      <c r="K642" s="12">
        <f>SUM(K643+K647)</f>
        <v>62620</v>
      </c>
      <c r="L642" s="12">
        <f>SUM(L643+L647)</f>
        <v>62620</v>
      </c>
      <c r="M642" s="12">
        <f t="shared" si="83"/>
        <v>100</v>
      </c>
      <c r="N642" s="9"/>
    </row>
    <row r="643" spans="1:14" s="28" customFormat="1" ht="31.5" x14ac:dyDescent="0.2">
      <c r="A643" s="72"/>
      <c r="B643" s="41" t="s">
        <v>253</v>
      </c>
      <c r="C643" s="62">
        <v>925</v>
      </c>
      <c r="D643" s="61" t="s">
        <v>8</v>
      </c>
      <c r="E643" s="61" t="s">
        <v>2</v>
      </c>
      <c r="F643" s="61" t="s">
        <v>41</v>
      </c>
      <c r="G643" s="62">
        <v>2</v>
      </c>
      <c r="H643" s="5" t="s">
        <v>557</v>
      </c>
      <c r="I643" s="5" t="s">
        <v>557</v>
      </c>
      <c r="J643" s="40" t="s">
        <v>557</v>
      </c>
      <c r="K643" s="12">
        <f t="shared" ref="K643:L645" si="86">K644</f>
        <v>10089.1</v>
      </c>
      <c r="L643" s="12">
        <f t="shared" si="86"/>
        <v>10089.1</v>
      </c>
      <c r="M643" s="12">
        <f t="shared" si="83"/>
        <v>100</v>
      </c>
      <c r="N643" s="9"/>
    </row>
    <row r="644" spans="1:14" s="28" customFormat="1" ht="31.5" x14ac:dyDescent="0.2">
      <c r="A644" s="72"/>
      <c r="B644" s="41" t="s">
        <v>317</v>
      </c>
      <c r="C644" s="62">
        <v>925</v>
      </c>
      <c r="D644" s="61" t="s">
        <v>8</v>
      </c>
      <c r="E644" s="61" t="s">
        <v>2</v>
      </c>
      <c r="F644" s="61" t="s">
        <v>41</v>
      </c>
      <c r="G644" s="62">
        <v>2</v>
      </c>
      <c r="H644" s="61" t="s">
        <v>4</v>
      </c>
      <c r="I644" s="5" t="s">
        <v>557</v>
      </c>
      <c r="J644" s="40" t="s">
        <v>557</v>
      </c>
      <c r="K644" s="12">
        <f t="shared" si="86"/>
        <v>10089.1</v>
      </c>
      <c r="L644" s="12">
        <f t="shared" si="86"/>
        <v>10089.1</v>
      </c>
      <c r="M644" s="12">
        <f t="shared" si="83"/>
        <v>100</v>
      </c>
      <c r="N644" s="9"/>
    </row>
    <row r="645" spans="1:14" s="28" customFormat="1" ht="78.75" x14ac:dyDescent="0.2">
      <c r="A645" s="72"/>
      <c r="B645" s="41" t="s">
        <v>352</v>
      </c>
      <c r="C645" s="62">
        <v>925</v>
      </c>
      <c r="D645" s="61" t="s">
        <v>8</v>
      </c>
      <c r="E645" s="61" t="s">
        <v>2</v>
      </c>
      <c r="F645" s="61" t="s">
        <v>41</v>
      </c>
      <c r="G645" s="62">
        <v>2</v>
      </c>
      <c r="H645" s="61" t="s">
        <v>4</v>
      </c>
      <c r="I645" s="61" t="s">
        <v>316</v>
      </c>
      <c r="J645" s="40" t="s">
        <v>557</v>
      </c>
      <c r="K645" s="12">
        <f t="shared" si="86"/>
        <v>10089.1</v>
      </c>
      <c r="L645" s="12">
        <f t="shared" si="86"/>
        <v>10089.1</v>
      </c>
      <c r="M645" s="12">
        <f t="shared" si="83"/>
        <v>100</v>
      </c>
      <c r="N645" s="9"/>
    </row>
    <row r="646" spans="1:14" s="28" customFormat="1" ht="34.5" customHeight="1" x14ac:dyDescent="0.2">
      <c r="A646" s="72"/>
      <c r="B646" s="19" t="s">
        <v>72</v>
      </c>
      <c r="C646" s="62">
        <v>925</v>
      </c>
      <c r="D646" s="61" t="s">
        <v>8</v>
      </c>
      <c r="E646" s="61" t="s">
        <v>2</v>
      </c>
      <c r="F646" s="61" t="s">
        <v>41</v>
      </c>
      <c r="G646" s="62">
        <v>2</v>
      </c>
      <c r="H646" s="61" t="s">
        <v>4</v>
      </c>
      <c r="I646" s="61" t="s">
        <v>316</v>
      </c>
      <c r="J646" s="61" t="s">
        <v>73</v>
      </c>
      <c r="K646" s="12">
        <f>86+3836.1+1272.1+1179.8+915.3-645.5+197.4+846.2+1947+0.1-197.4+150.3+278.4-0.1+296.2+599.7-672.5</f>
        <v>10089.1</v>
      </c>
      <c r="L646" s="12">
        <f>86+3836.1+1272.1+1179.8+915.3-645.5+197.4+846.2+1947+0.1-197.4+150.3+278.4-0.1+296.2+599.7-672.5</f>
        <v>10089.1</v>
      </c>
      <c r="M646" s="12">
        <f t="shared" si="83"/>
        <v>100</v>
      </c>
      <c r="N646" s="9"/>
    </row>
    <row r="647" spans="1:14" s="28" customFormat="1" ht="47.25" x14ac:dyDescent="0.2">
      <c r="A647" s="72"/>
      <c r="B647" s="41" t="s">
        <v>197</v>
      </c>
      <c r="C647" s="62">
        <v>925</v>
      </c>
      <c r="D647" s="61" t="s">
        <v>8</v>
      </c>
      <c r="E647" s="61" t="s">
        <v>2</v>
      </c>
      <c r="F647" s="8" t="s">
        <v>41</v>
      </c>
      <c r="G647" s="8" t="s">
        <v>189</v>
      </c>
      <c r="H647" s="5" t="s">
        <v>557</v>
      </c>
      <c r="I647" s="5" t="s">
        <v>557</v>
      </c>
      <c r="J647" s="40" t="s">
        <v>557</v>
      </c>
      <c r="K647" s="12">
        <f t="shared" ref="K647:L649" si="87">SUM(K648)</f>
        <v>52530.9</v>
      </c>
      <c r="L647" s="12">
        <f t="shared" si="87"/>
        <v>52530.9</v>
      </c>
      <c r="M647" s="12">
        <f t="shared" si="83"/>
        <v>100</v>
      </c>
      <c r="N647" s="9"/>
    </row>
    <row r="648" spans="1:14" s="28" customFormat="1" ht="47.25" x14ac:dyDescent="0.2">
      <c r="A648" s="72"/>
      <c r="B648" s="41" t="s">
        <v>188</v>
      </c>
      <c r="C648" s="62">
        <v>925</v>
      </c>
      <c r="D648" s="61" t="s">
        <v>8</v>
      </c>
      <c r="E648" s="61" t="s">
        <v>2</v>
      </c>
      <c r="F648" s="8" t="s">
        <v>41</v>
      </c>
      <c r="G648" s="8" t="s">
        <v>189</v>
      </c>
      <c r="H648" s="8" t="s">
        <v>2</v>
      </c>
      <c r="I648" s="5" t="s">
        <v>557</v>
      </c>
      <c r="J648" s="40" t="s">
        <v>557</v>
      </c>
      <c r="K648" s="12">
        <f t="shared" si="87"/>
        <v>52530.9</v>
      </c>
      <c r="L648" s="12">
        <f t="shared" si="87"/>
        <v>52530.9</v>
      </c>
      <c r="M648" s="12">
        <f t="shared" si="83"/>
        <v>100</v>
      </c>
      <c r="N648" s="9"/>
    </row>
    <row r="649" spans="1:14" s="28" customFormat="1" ht="94.5" x14ac:dyDescent="0.2">
      <c r="A649" s="72"/>
      <c r="B649" s="41" t="s">
        <v>261</v>
      </c>
      <c r="C649" s="62">
        <v>925</v>
      </c>
      <c r="D649" s="61" t="s">
        <v>8</v>
      </c>
      <c r="E649" s="61" t="s">
        <v>2</v>
      </c>
      <c r="F649" s="8" t="s">
        <v>41</v>
      </c>
      <c r="G649" s="8" t="s">
        <v>189</v>
      </c>
      <c r="H649" s="8" t="s">
        <v>2</v>
      </c>
      <c r="I649" s="8" t="s">
        <v>206</v>
      </c>
      <c r="J649" s="40" t="s">
        <v>557</v>
      </c>
      <c r="K649" s="12">
        <f t="shared" si="87"/>
        <v>52530.9</v>
      </c>
      <c r="L649" s="12">
        <f t="shared" si="87"/>
        <v>52530.9</v>
      </c>
      <c r="M649" s="12">
        <f t="shared" si="83"/>
        <v>100</v>
      </c>
      <c r="N649" s="9"/>
    </row>
    <row r="650" spans="1:14" s="28" customFormat="1" ht="31.5" customHeight="1" x14ac:dyDescent="0.2">
      <c r="A650" s="72"/>
      <c r="B650" s="19" t="s">
        <v>72</v>
      </c>
      <c r="C650" s="62">
        <v>925</v>
      </c>
      <c r="D650" s="61" t="s">
        <v>8</v>
      </c>
      <c r="E650" s="61" t="s">
        <v>2</v>
      </c>
      <c r="F650" s="8" t="s">
        <v>41</v>
      </c>
      <c r="G650" s="8" t="s">
        <v>189</v>
      </c>
      <c r="H650" s="8" t="s">
        <v>2</v>
      </c>
      <c r="I650" s="8" t="s">
        <v>206</v>
      </c>
      <c r="J650" s="61" t="s">
        <v>73</v>
      </c>
      <c r="K650" s="12">
        <f>24410.9+24111.9+574.1+185.3+1045.1-0.1+470.7+1694.9+38.1</f>
        <v>52530.9</v>
      </c>
      <c r="L650" s="12">
        <f>24410.9+24111.9+574.1+185.3+1045.1-0.1+470.7+1694.9+38.1</f>
        <v>52530.9</v>
      </c>
      <c r="M650" s="12">
        <f t="shared" si="83"/>
        <v>100</v>
      </c>
      <c r="N650" s="9"/>
    </row>
    <row r="651" spans="1:14" s="28" customFormat="1" x14ac:dyDescent="0.2">
      <c r="A651" s="72"/>
      <c r="B651" s="19" t="s">
        <v>26</v>
      </c>
      <c r="C651" s="62">
        <v>925</v>
      </c>
      <c r="D651" s="61" t="s">
        <v>8</v>
      </c>
      <c r="E651" s="61" t="s">
        <v>4</v>
      </c>
      <c r="F651" s="5" t="s">
        <v>557</v>
      </c>
      <c r="G651" s="40" t="s">
        <v>557</v>
      </c>
      <c r="H651" s="5" t="s">
        <v>557</v>
      </c>
      <c r="I651" s="5" t="s">
        <v>557</v>
      </c>
      <c r="J651" s="40" t="s">
        <v>557</v>
      </c>
      <c r="K651" s="12">
        <f>SUM(K652+K714+K702+K723+K709)</f>
        <v>1549729.2000000004</v>
      </c>
      <c r="L651" s="12">
        <f>SUM(L652+L714+L702+L723+L709)</f>
        <v>1549729.2000000004</v>
      </c>
      <c r="M651" s="12">
        <f t="shared" si="83"/>
        <v>100</v>
      </c>
      <c r="N651" s="9"/>
    </row>
    <row r="652" spans="1:14" s="28" customFormat="1" ht="36.75" customHeight="1" x14ac:dyDescent="0.2">
      <c r="A652" s="72"/>
      <c r="B652" s="19" t="s">
        <v>198</v>
      </c>
      <c r="C652" s="62">
        <v>925</v>
      </c>
      <c r="D652" s="61" t="s">
        <v>8</v>
      </c>
      <c r="E652" s="61" t="s">
        <v>4</v>
      </c>
      <c r="F652" s="61" t="s">
        <v>2</v>
      </c>
      <c r="G652" s="40" t="s">
        <v>557</v>
      </c>
      <c r="H652" s="5" t="s">
        <v>557</v>
      </c>
      <c r="I652" s="5" t="s">
        <v>557</v>
      </c>
      <c r="J652" s="40" t="s">
        <v>557</v>
      </c>
      <c r="K652" s="12">
        <f>SUM(K653)</f>
        <v>1398106.3000000005</v>
      </c>
      <c r="L652" s="12">
        <f>SUM(L653)</f>
        <v>1398106.3000000005</v>
      </c>
      <c r="M652" s="12">
        <f t="shared" si="83"/>
        <v>100</v>
      </c>
      <c r="N652" s="9"/>
    </row>
    <row r="653" spans="1:14" s="28" customFormat="1" ht="51" customHeight="1" x14ac:dyDescent="0.2">
      <c r="A653" s="72"/>
      <c r="B653" s="41" t="s">
        <v>259</v>
      </c>
      <c r="C653" s="62">
        <v>925</v>
      </c>
      <c r="D653" s="61" t="s">
        <v>8</v>
      </c>
      <c r="E653" s="61" t="s">
        <v>4</v>
      </c>
      <c r="F653" s="61" t="s">
        <v>2</v>
      </c>
      <c r="G653" s="62">
        <v>1</v>
      </c>
      <c r="H653" s="5" t="s">
        <v>557</v>
      </c>
      <c r="I653" s="5" t="s">
        <v>557</v>
      </c>
      <c r="J653" s="40" t="s">
        <v>557</v>
      </c>
      <c r="K653" s="12">
        <f>SUM(K667+K670+K679+K663+K654+K696+K699)</f>
        <v>1398106.3000000005</v>
      </c>
      <c r="L653" s="12">
        <f>SUM(L667+L670+L679+L663+L654+L696+L699)</f>
        <v>1398106.3000000005</v>
      </c>
      <c r="M653" s="12">
        <f t="shared" si="83"/>
        <v>100</v>
      </c>
      <c r="N653" s="9"/>
    </row>
    <row r="654" spans="1:14" s="28" customFormat="1" ht="81" customHeight="1" x14ac:dyDescent="0.2">
      <c r="A654" s="72"/>
      <c r="B654" s="41" t="s">
        <v>148</v>
      </c>
      <c r="C654" s="62">
        <v>925</v>
      </c>
      <c r="D654" s="61" t="s">
        <v>8</v>
      </c>
      <c r="E654" s="61" t="s">
        <v>4</v>
      </c>
      <c r="F654" s="8" t="s">
        <v>2</v>
      </c>
      <c r="G654" s="8" t="s">
        <v>116</v>
      </c>
      <c r="H654" s="8" t="s">
        <v>2</v>
      </c>
      <c r="I654" s="5" t="s">
        <v>557</v>
      </c>
      <c r="J654" s="40" t="s">
        <v>557</v>
      </c>
      <c r="K654" s="12">
        <f>K659+K657+K655+K661</f>
        <v>17381.099999999999</v>
      </c>
      <c r="L654" s="12">
        <f>L659+L657+L655+L661</f>
        <v>17381.099999999999</v>
      </c>
      <c r="M654" s="12">
        <f t="shared" si="83"/>
        <v>100</v>
      </c>
      <c r="N654" s="9"/>
    </row>
    <row r="655" spans="1:14" s="28" customFormat="1" ht="47.25" x14ac:dyDescent="0.2">
      <c r="A655" s="72"/>
      <c r="B655" s="41" t="s">
        <v>466</v>
      </c>
      <c r="C655" s="62">
        <v>925</v>
      </c>
      <c r="D655" s="61" t="s">
        <v>8</v>
      </c>
      <c r="E655" s="61" t="s">
        <v>4</v>
      </c>
      <c r="F655" s="8" t="s">
        <v>2</v>
      </c>
      <c r="G655" s="8" t="s">
        <v>116</v>
      </c>
      <c r="H655" s="8" t="s">
        <v>2</v>
      </c>
      <c r="I655" s="8" t="s">
        <v>467</v>
      </c>
      <c r="J655" s="40" t="s">
        <v>557</v>
      </c>
      <c r="K655" s="12">
        <f>K656</f>
        <v>5316.1</v>
      </c>
      <c r="L655" s="12">
        <f>L656</f>
        <v>5316.1</v>
      </c>
      <c r="M655" s="12">
        <f t="shared" si="83"/>
        <v>100</v>
      </c>
      <c r="N655" s="9"/>
    </row>
    <row r="656" spans="1:14" s="28" customFormat="1" ht="31.5" customHeight="1" x14ac:dyDescent="0.2">
      <c r="A656" s="72"/>
      <c r="B656" s="19" t="s">
        <v>72</v>
      </c>
      <c r="C656" s="62">
        <v>925</v>
      </c>
      <c r="D656" s="61" t="s">
        <v>8</v>
      </c>
      <c r="E656" s="61" t="s">
        <v>4</v>
      </c>
      <c r="F656" s="8" t="s">
        <v>2</v>
      </c>
      <c r="G656" s="8" t="s">
        <v>116</v>
      </c>
      <c r="H656" s="8" t="s">
        <v>2</v>
      </c>
      <c r="I656" s="8" t="s">
        <v>467</v>
      </c>
      <c r="J656" s="61" t="s">
        <v>73</v>
      </c>
      <c r="K656" s="12">
        <f>533.5+1500+3282.6</f>
        <v>5316.1</v>
      </c>
      <c r="L656" s="12">
        <f>533.5+1500+3282.6</f>
        <v>5316.1</v>
      </c>
      <c r="M656" s="12">
        <f t="shared" si="83"/>
        <v>100</v>
      </c>
      <c r="N656" s="9"/>
    </row>
    <row r="657" spans="1:14" s="28" customFormat="1" ht="47.25" x14ac:dyDescent="0.2">
      <c r="A657" s="72"/>
      <c r="B657" s="41" t="s">
        <v>475</v>
      </c>
      <c r="C657" s="62">
        <v>925</v>
      </c>
      <c r="D657" s="61" t="s">
        <v>8</v>
      </c>
      <c r="E657" s="61" t="s">
        <v>4</v>
      </c>
      <c r="F657" s="61" t="s">
        <v>2</v>
      </c>
      <c r="G657" s="62">
        <v>1</v>
      </c>
      <c r="H657" s="61" t="s">
        <v>2</v>
      </c>
      <c r="I657" s="61" t="s">
        <v>474</v>
      </c>
      <c r="J657" s="40" t="s">
        <v>557</v>
      </c>
      <c r="K657" s="12">
        <f>SUM(K658)</f>
        <v>600</v>
      </c>
      <c r="L657" s="12">
        <f>SUM(L658)</f>
        <v>600</v>
      </c>
      <c r="M657" s="12">
        <f t="shared" si="83"/>
        <v>100</v>
      </c>
      <c r="N657" s="9"/>
    </row>
    <row r="658" spans="1:14" s="28" customFormat="1" ht="33" customHeight="1" x14ac:dyDescent="0.2">
      <c r="A658" s="72"/>
      <c r="B658" s="19" t="s">
        <v>72</v>
      </c>
      <c r="C658" s="62">
        <v>925</v>
      </c>
      <c r="D658" s="61" t="s">
        <v>8</v>
      </c>
      <c r="E658" s="61" t="s">
        <v>4</v>
      </c>
      <c r="F658" s="61" t="s">
        <v>2</v>
      </c>
      <c r="G658" s="62">
        <v>1</v>
      </c>
      <c r="H658" s="61" t="s">
        <v>2</v>
      </c>
      <c r="I658" s="61" t="s">
        <v>474</v>
      </c>
      <c r="J658" s="61" t="s">
        <v>73</v>
      </c>
      <c r="K658" s="12">
        <v>600</v>
      </c>
      <c r="L658" s="12">
        <v>600</v>
      </c>
      <c r="M658" s="12">
        <f t="shared" si="83"/>
        <v>100</v>
      </c>
      <c r="N658" s="9"/>
    </row>
    <row r="659" spans="1:14" s="28" customFormat="1" ht="141.75" x14ac:dyDescent="0.2">
      <c r="A659" s="72"/>
      <c r="B659" s="19" t="s">
        <v>510</v>
      </c>
      <c r="C659" s="62">
        <v>925</v>
      </c>
      <c r="D659" s="61" t="s">
        <v>8</v>
      </c>
      <c r="E659" s="61" t="s">
        <v>4</v>
      </c>
      <c r="F659" s="8" t="s">
        <v>2</v>
      </c>
      <c r="G659" s="8" t="s">
        <v>116</v>
      </c>
      <c r="H659" s="8" t="s">
        <v>2</v>
      </c>
      <c r="I659" s="8" t="s">
        <v>410</v>
      </c>
      <c r="J659" s="40" t="s">
        <v>557</v>
      </c>
      <c r="K659" s="12">
        <f>K660</f>
        <v>9800</v>
      </c>
      <c r="L659" s="12">
        <f>L660</f>
        <v>9800</v>
      </c>
      <c r="M659" s="12">
        <f t="shared" si="83"/>
        <v>100</v>
      </c>
      <c r="N659" s="9"/>
    </row>
    <row r="660" spans="1:14" s="28" customFormat="1" ht="32.25" customHeight="1" x14ac:dyDescent="0.2">
      <c r="A660" s="72"/>
      <c r="B660" s="44" t="s">
        <v>72</v>
      </c>
      <c r="C660" s="62">
        <v>925</v>
      </c>
      <c r="D660" s="61" t="s">
        <v>8</v>
      </c>
      <c r="E660" s="61" t="s">
        <v>4</v>
      </c>
      <c r="F660" s="8" t="s">
        <v>2</v>
      </c>
      <c r="G660" s="8" t="s">
        <v>116</v>
      </c>
      <c r="H660" s="8" t="s">
        <v>2</v>
      </c>
      <c r="I660" s="8" t="s">
        <v>410</v>
      </c>
      <c r="J660" s="8" t="s">
        <v>73</v>
      </c>
      <c r="K660" s="12">
        <f>1764+8036</f>
        <v>9800</v>
      </c>
      <c r="L660" s="12">
        <f>1764+8036</f>
        <v>9800</v>
      </c>
      <c r="M660" s="12">
        <f t="shared" si="83"/>
        <v>100</v>
      </c>
      <c r="N660" s="9"/>
    </row>
    <row r="661" spans="1:14" s="28" customFormat="1" ht="173.25" x14ac:dyDescent="0.2">
      <c r="A661" s="72"/>
      <c r="B661" s="19" t="s">
        <v>468</v>
      </c>
      <c r="C661" s="62">
        <v>925</v>
      </c>
      <c r="D661" s="61" t="s">
        <v>8</v>
      </c>
      <c r="E661" s="61" t="s">
        <v>4</v>
      </c>
      <c r="F661" s="8" t="s">
        <v>2</v>
      </c>
      <c r="G661" s="8" t="s">
        <v>116</v>
      </c>
      <c r="H661" s="8" t="s">
        <v>2</v>
      </c>
      <c r="I661" s="8" t="s">
        <v>469</v>
      </c>
      <c r="J661" s="40" t="s">
        <v>557</v>
      </c>
      <c r="K661" s="12">
        <f>K662</f>
        <v>1665</v>
      </c>
      <c r="L661" s="12">
        <f>L662</f>
        <v>1665</v>
      </c>
      <c r="M661" s="12">
        <f t="shared" si="83"/>
        <v>100</v>
      </c>
      <c r="N661" s="9"/>
    </row>
    <row r="662" spans="1:14" s="28" customFormat="1" ht="33.75" customHeight="1" x14ac:dyDescent="0.2">
      <c r="A662" s="72"/>
      <c r="B662" s="19" t="s">
        <v>72</v>
      </c>
      <c r="C662" s="62">
        <v>925</v>
      </c>
      <c r="D662" s="61" t="s">
        <v>8</v>
      </c>
      <c r="E662" s="61" t="s">
        <v>4</v>
      </c>
      <c r="F662" s="8" t="s">
        <v>2</v>
      </c>
      <c r="G662" s="8" t="s">
        <v>116</v>
      </c>
      <c r="H662" s="8" t="s">
        <v>2</v>
      </c>
      <c r="I662" s="8" t="s">
        <v>469</v>
      </c>
      <c r="J662" s="8" t="s">
        <v>73</v>
      </c>
      <c r="K662" s="12">
        <v>1665</v>
      </c>
      <c r="L662" s="12">
        <v>1665</v>
      </c>
      <c r="M662" s="12">
        <f t="shared" si="83"/>
        <v>100</v>
      </c>
      <c r="N662" s="9"/>
    </row>
    <row r="663" spans="1:14" s="28" customFormat="1" ht="30.6" customHeight="1" x14ac:dyDescent="0.2">
      <c r="A663" s="72"/>
      <c r="B663" s="41" t="s">
        <v>172</v>
      </c>
      <c r="C663" s="62">
        <v>925</v>
      </c>
      <c r="D663" s="61" t="s">
        <v>8</v>
      </c>
      <c r="E663" s="61" t="s">
        <v>4</v>
      </c>
      <c r="F663" s="61" t="s">
        <v>2</v>
      </c>
      <c r="G663" s="62">
        <v>1</v>
      </c>
      <c r="H663" s="61" t="s">
        <v>4</v>
      </c>
      <c r="I663" s="5" t="s">
        <v>557</v>
      </c>
      <c r="J663" s="40" t="s">
        <v>557</v>
      </c>
      <c r="K663" s="12">
        <f>K664</f>
        <v>4501.2999999999993</v>
      </c>
      <c r="L663" s="12">
        <f>L664</f>
        <v>4501.2999999999993</v>
      </c>
      <c r="M663" s="12">
        <f t="shared" si="83"/>
        <v>100</v>
      </c>
      <c r="N663" s="9"/>
    </row>
    <row r="664" spans="1:14" s="28" customFormat="1" ht="76.900000000000006" customHeight="1" x14ac:dyDescent="0.2">
      <c r="A664" s="72"/>
      <c r="B664" s="19" t="s">
        <v>322</v>
      </c>
      <c r="C664" s="62">
        <v>925</v>
      </c>
      <c r="D664" s="61" t="s">
        <v>8</v>
      </c>
      <c r="E664" s="61" t="s">
        <v>4</v>
      </c>
      <c r="F664" s="61" t="s">
        <v>2</v>
      </c>
      <c r="G664" s="62">
        <v>1</v>
      </c>
      <c r="H664" s="61" t="s">
        <v>4</v>
      </c>
      <c r="I664" s="61" t="s">
        <v>187</v>
      </c>
      <c r="J664" s="40" t="s">
        <v>557</v>
      </c>
      <c r="K664" s="12">
        <f>SUM(K665:K666)</f>
        <v>4501.2999999999993</v>
      </c>
      <c r="L664" s="12">
        <f>SUM(L665:L666)</f>
        <v>4501.2999999999993</v>
      </c>
      <c r="M664" s="12">
        <f t="shared" si="83"/>
        <v>100</v>
      </c>
      <c r="N664" s="9"/>
    </row>
    <row r="665" spans="1:14" s="28" customFormat="1" ht="19.899999999999999" customHeight="1" x14ac:dyDescent="0.2">
      <c r="A665" s="72"/>
      <c r="B665" s="19" t="s">
        <v>65</v>
      </c>
      <c r="C665" s="62">
        <v>925</v>
      </c>
      <c r="D665" s="61" t="s">
        <v>8</v>
      </c>
      <c r="E665" s="61" t="s">
        <v>4</v>
      </c>
      <c r="F665" s="61" t="s">
        <v>2</v>
      </c>
      <c r="G665" s="62">
        <v>1</v>
      </c>
      <c r="H665" s="61" t="s">
        <v>4</v>
      </c>
      <c r="I665" s="61" t="s">
        <v>187</v>
      </c>
      <c r="J665" s="61" t="s">
        <v>66</v>
      </c>
      <c r="K665" s="12">
        <f>2359.2+337.2+124.6+170.2+50</f>
        <v>3041.1999999999994</v>
      </c>
      <c r="L665" s="12">
        <f>2359.2+337.2+124.6+170.2+50</f>
        <v>3041.1999999999994</v>
      </c>
      <c r="M665" s="12">
        <f t="shared" si="83"/>
        <v>100</v>
      </c>
      <c r="N665" s="9"/>
    </row>
    <row r="666" spans="1:14" s="28" customFormat="1" ht="32.25" customHeight="1" x14ac:dyDescent="0.2">
      <c r="A666" s="72"/>
      <c r="B666" s="44" t="s">
        <v>72</v>
      </c>
      <c r="C666" s="62">
        <v>925</v>
      </c>
      <c r="D666" s="61" t="s">
        <v>8</v>
      </c>
      <c r="E666" s="61" t="s">
        <v>4</v>
      </c>
      <c r="F666" s="61" t="s">
        <v>2</v>
      </c>
      <c r="G666" s="62">
        <v>1</v>
      </c>
      <c r="H666" s="61" t="s">
        <v>4</v>
      </c>
      <c r="I666" s="61" t="s">
        <v>187</v>
      </c>
      <c r="J666" s="61" t="s">
        <v>73</v>
      </c>
      <c r="K666" s="12">
        <f>1752.3-157.3-134.9</f>
        <v>1460.1</v>
      </c>
      <c r="L666" s="12">
        <f>1752.3-157.3-134.9</f>
        <v>1460.1</v>
      </c>
      <c r="M666" s="12">
        <f t="shared" si="83"/>
        <v>100</v>
      </c>
      <c r="N666" s="9"/>
    </row>
    <row r="667" spans="1:14" s="28" customFormat="1" ht="79.5" customHeight="1" x14ac:dyDescent="0.2">
      <c r="A667" s="72"/>
      <c r="B667" s="41" t="s">
        <v>142</v>
      </c>
      <c r="C667" s="62">
        <v>925</v>
      </c>
      <c r="D667" s="61" t="s">
        <v>8</v>
      </c>
      <c r="E667" s="61" t="s">
        <v>4</v>
      </c>
      <c r="F667" s="61" t="s">
        <v>2</v>
      </c>
      <c r="G667" s="62">
        <v>1</v>
      </c>
      <c r="H667" s="61" t="s">
        <v>6</v>
      </c>
      <c r="I667" s="5" t="s">
        <v>557</v>
      </c>
      <c r="J667" s="40" t="s">
        <v>557</v>
      </c>
      <c r="K667" s="12">
        <f>SUM(K668)</f>
        <v>1315.3</v>
      </c>
      <c r="L667" s="12">
        <f>SUM(L668)</f>
        <v>1315.3</v>
      </c>
      <c r="M667" s="12">
        <f t="shared" si="83"/>
        <v>100</v>
      </c>
      <c r="N667" s="9"/>
    </row>
    <row r="668" spans="1:14" s="28" customFormat="1" ht="144" customHeight="1" x14ac:dyDescent="0.2">
      <c r="A668" s="72"/>
      <c r="B668" s="43" t="s">
        <v>321</v>
      </c>
      <c r="C668" s="62">
        <v>925</v>
      </c>
      <c r="D668" s="61" t="s">
        <v>8</v>
      </c>
      <c r="E668" s="61" t="s">
        <v>4</v>
      </c>
      <c r="F668" s="61" t="s">
        <v>2</v>
      </c>
      <c r="G668" s="62">
        <v>1</v>
      </c>
      <c r="H668" s="61" t="s">
        <v>6</v>
      </c>
      <c r="I668" s="61" t="s">
        <v>143</v>
      </c>
      <c r="J668" s="40" t="s">
        <v>557</v>
      </c>
      <c r="K668" s="12">
        <f>SUM(K669:K669)</f>
        <v>1315.3</v>
      </c>
      <c r="L668" s="12">
        <f>SUM(L669:L669)</f>
        <v>1315.3</v>
      </c>
      <c r="M668" s="12">
        <f t="shared" si="83"/>
        <v>100</v>
      </c>
      <c r="N668" s="9"/>
    </row>
    <row r="669" spans="1:14" s="28" customFormat="1" ht="34.9" customHeight="1" x14ac:dyDescent="0.2">
      <c r="A669" s="72"/>
      <c r="B669" s="44" t="s">
        <v>162</v>
      </c>
      <c r="C669" s="62">
        <v>925</v>
      </c>
      <c r="D669" s="61" t="s">
        <v>8</v>
      </c>
      <c r="E669" s="61" t="s">
        <v>4</v>
      </c>
      <c r="F669" s="61" t="s">
        <v>2</v>
      </c>
      <c r="G669" s="62">
        <v>1</v>
      </c>
      <c r="H669" s="61" t="s">
        <v>6</v>
      </c>
      <c r="I669" s="61" t="s">
        <v>143</v>
      </c>
      <c r="J669" s="61" t="s">
        <v>73</v>
      </c>
      <c r="K669" s="12">
        <f>1029.8-42.3+327.8</f>
        <v>1315.3</v>
      </c>
      <c r="L669" s="12">
        <f>1029.8-42.3+327.8</f>
        <v>1315.3</v>
      </c>
      <c r="M669" s="12">
        <f t="shared" si="83"/>
        <v>100</v>
      </c>
      <c r="N669" s="9"/>
    </row>
    <row r="670" spans="1:14" s="28" customFormat="1" ht="48.6" customHeight="1" x14ac:dyDescent="0.2">
      <c r="A670" s="72"/>
      <c r="B670" s="41" t="s">
        <v>144</v>
      </c>
      <c r="C670" s="62">
        <v>925</v>
      </c>
      <c r="D670" s="61" t="s">
        <v>8</v>
      </c>
      <c r="E670" s="61" t="s">
        <v>4</v>
      </c>
      <c r="F670" s="61" t="s">
        <v>2</v>
      </c>
      <c r="G670" s="62">
        <v>1</v>
      </c>
      <c r="H670" s="61" t="s">
        <v>7</v>
      </c>
      <c r="I670" s="5" t="s">
        <v>557</v>
      </c>
      <c r="J670" s="40" t="s">
        <v>557</v>
      </c>
      <c r="K670" s="12">
        <f>SUM(K671+K673+K676+K677)</f>
        <v>1225740.4000000001</v>
      </c>
      <c r="L670" s="12">
        <f>SUM(L671+L673+L676+L677)</f>
        <v>1225740.4000000001</v>
      </c>
      <c r="M670" s="12">
        <f t="shared" si="83"/>
        <v>100</v>
      </c>
      <c r="N670" s="9"/>
    </row>
    <row r="671" spans="1:14" s="28" customFormat="1" ht="49.15" customHeight="1" x14ac:dyDescent="0.2">
      <c r="A671" s="72"/>
      <c r="B671" s="44" t="s">
        <v>145</v>
      </c>
      <c r="C671" s="62">
        <v>925</v>
      </c>
      <c r="D671" s="61" t="s">
        <v>8</v>
      </c>
      <c r="E671" s="61" t="s">
        <v>4</v>
      </c>
      <c r="F671" s="61" t="s">
        <v>2</v>
      </c>
      <c r="G671" s="62">
        <v>1</v>
      </c>
      <c r="H671" s="61" t="s">
        <v>7</v>
      </c>
      <c r="I671" s="61" t="s">
        <v>111</v>
      </c>
      <c r="J671" s="40" t="s">
        <v>557</v>
      </c>
      <c r="K671" s="12">
        <f>SUM(K672:K672)</f>
        <v>178524.5</v>
      </c>
      <c r="L671" s="12">
        <f>SUM(L672:L672)</f>
        <v>178524.5</v>
      </c>
      <c r="M671" s="12">
        <f t="shared" si="83"/>
        <v>100</v>
      </c>
      <c r="N671" s="9"/>
    </row>
    <row r="672" spans="1:14" s="28" customFormat="1" ht="31.9" customHeight="1" x14ac:dyDescent="0.2">
      <c r="A672" s="72"/>
      <c r="B672" s="44" t="s">
        <v>72</v>
      </c>
      <c r="C672" s="62">
        <v>925</v>
      </c>
      <c r="D672" s="61" t="s">
        <v>8</v>
      </c>
      <c r="E672" s="61" t="s">
        <v>4</v>
      </c>
      <c r="F672" s="61" t="s">
        <v>2</v>
      </c>
      <c r="G672" s="62">
        <v>1</v>
      </c>
      <c r="H672" s="61" t="s">
        <v>7</v>
      </c>
      <c r="I672" s="61" t="s">
        <v>111</v>
      </c>
      <c r="J672" s="61" t="s">
        <v>73</v>
      </c>
      <c r="K672" s="12">
        <v>178524.5</v>
      </c>
      <c r="L672" s="12">
        <v>178524.5</v>
      </c>
      <c r="M672" s="12">
        <f t="shared" si="83"/>
        <v>100</v>
      </c>
      <c r="N672" s="9"/>
    </row>
    <row r="673" spans="1:14" s="28" customFormat="1" ht="33.6" customHeight="1" x14ac:dyDescent="0.2">
      <c r="A673" s="72"/>
      <c r="B673" s="19" t="s">
        <v>344</v>
      </c>
      <c r="C673" s="62">
        <v>925</v>
      </c>
      <c r="D673" s="61" t="s">
        <v>8</v>
      </c>
      <c r="E673" s="61" t="s">
        <v>4</v>
      </c>
      <c r="F673" s="8" t="s">
        <v>2</v>
      </c>
      <c r="G673" s="8" t="s">
        <v>116</v>
      </c>
      <c r="H673" s="8" t="s">
        <v>7</v>
      </c>
      <c r="I673" s="8" t="s">
        <v>320</v>
      </c>
      <c r="J673" s="40" t="s">
        <v>557</v>
      </c>
      <c r="K673" s="12">
        <f>K674</f>
        <v>1145.3000000000002</v>
      </c>
      <c r="L673" s="12">
        <f>L674</f>
        <v>1145.3000000000002</v>
      </c>
      <c r="M673" s="12">
        <f t="shared" si="83"/>
        <v>100</v>
      </c>
      <c r="N673" s="9"/>
    </row>
    <row r="674" spans="1:14" s="28" customFormat="1" ht="31.9" customHeight="1" x14ac:dyDescent="0.2">
      <c r="A674" s="72"/>
      <c r="B674" s="19" t="s">
        <v>72</v>
      </c>
      <c r="C674" s="62">
        <v>925</v>
      </c>
      <c r="D674" s="61" t="s">
        <v>8</v>
      </c>
      <c r="E674" s="61" t="s">
        <v>4</v>
      </c>
      <c r="F674" s="8" t="s">
        <v>2</v>
      </c>
      <c r="G674" s="8" t="s">
        <v>116</v>
      </c>
      <c r="H674" s="8" t="s">
        <v>7</v>
      </c>
      <c r="I674" s="8" t="s">
        <v>320</v>
      </c>
      <c r="J674" s="61" t="s">
        <v>73</v>
      </c>
      <c r="K674" s="12">
        <f>383.5+322+388.4+51.4</f>
        <v>1145.3000000000002</v>
      </c>
      <c r="L674" s="12">
        <f>383.5+322+388.4+51.4</f>
        <v>1145.3000000000002</v>
      </c>
      <c r="M674" s="12">
        <f t="shared" si="83"/>
        <v>100</v>
      </c>
      <c r="N674" s="9"/>
    </row>
    <row r="675" spans="1:14" s="28" customFormat="1" ht="128.25" customHeight="1" x14ac:dyDescent="0.2">
      <c r="A675" s="72"/>
      <c r="B675" s="44" t="s">
        <v>521</v>
      </c>
      <c r="C675" s="62">
        <v>925</v>
      </c>
      <c r="D675" s="61" t="s">
        <v>8</v>
      </c>
      <c r="E675" s="61" t="s">
        <v>4</v>
      </c>
      <c r="F675" s="8" t="s">
        <v>2</v>
      </c>
      <c r="G675" s="8" t="s">
        <v>116</v>
      </c>
      <c r="H675" s="8" t="s">
        <v>7</v>
      </c>
      <c r="I675" s="61" t="s">
        <v>455</v>
      </c>
      <c r="J675" s="40" t="s">
        <v>557</v>
      </c>
      <c r="K675" s="12">
        <f>K676</f>
        <v>92520.1</v>
      </c>
      <c r="L675" s="12">
        <f>L676</f>
        <v>92520.1</v>
      </c>
      <c r="M675" s="12">
        <f t="shared" si="83"/>
        <v>100</v>
      </c>
      <c r="N675" s="9"/>
    </row>
    <row r="676" spans="1:14" s="28" customFormat="1" ht="31.15" customHeight="1" x14ac:dyDescent="0.2">
      <c r="A676" s="72"/>
      <c r="B676" s="44" t="s">
        <v>72</v>
      </c>
      <c r="C676" s="62">
        <v>925</v>
      </c>
      <c r="D676" s="61" t="s">
        <v>8</v>
      </c>
      <c r="E676" s="61" t="s">
        <v>4</v>
      </c>
      <c r="F676" s="8" t="s">
        <v>2</v>
      </c>
      <c r="G676" s="8" t="s">
        <v>116</v>
      </c>
      <c r="H676" s="8" t="s">
        <v>7</v>
      </c>
      <c r="I676" s="61" t="s">
        <v>455</v>
      </c>
      <c r="J676" s="61" t="s">
        <v>73</v>
      </c>
      <c r="K676" s="12">
        <f>48564.6+1900.9+8163.6+35518.5-1627.5</f>
        <v>92520.1</v>
      </c>
      <c r="L676" s="12">
        <f>48564.6+1900.9+8163.6+35518.5-1627.5</f>
        <v>92520.1</v>
      </c>
      <c r="M676" s="12">
        <f t="shared" si="83"/>
        <v>100</v>
      </c>
      <c r="N676" s="9"/>
    </row>
    <row r="677" spans="1:14" s="28" customFormat="1" ht="94.5" x14ac:dyDescent="0.2">
      <c r="A677" s="72"/>
      <c r="B677" s="44" t="s">
        <v>324</v>
      </c>
      <c r="C677" s="62">
        <v>925</v>
      </c>
      <c r="D677" s="61" t="s">
        <v>8</v>
      </c>
      <c r="E677" s="61" t="s">
        <v>4</v>
      </c>
      <c r="F677" s="61" t="s">
        <v>2</v>
      </c>
      <c r="G677" s="62">
        <v>1</v>
      </c>
      <c r="H677" s="61" t="s">
        <v>7</v>
      </c>
      <c r="I677" s="61" t="s">
        <v>146</v>
      </c>
      <c r="J677" s="40" t="s">
        <v>557</v>
      </c>
      <c r="K677" s="12">
        <f>SUM(K678:K678)</f>
        <v>953550.50000000012</v>
      </c>
      <c r="L677" s="12">
        <f>SUM(L678:L678)</f>
        <v>953550.50000000012</v>
      </c>
      <c r="M677" s="12">
        <f t="shared" si="83"/>
        <v>100</v>
      </c>
      <c r="N677" s="9"/>
    </row>
    <row r="678" spans="1:14" s="28" customFormat="1" ht="30.75" customHeight="1" x14ac:dyDescent="0.2">
      <c r="A678" s="72"/>
      <c r="B678" s="44" t="s">
        <v>162</v>
      </c>
      <c r="C678" s="62">
        <v>925</v>
      </c>
      <c r="D678" s="61" t="s">
        <v>8</v>
      </c>
      <c r="E678" s="61" t="s">
        <v>4</v>
      </c>
      <c r="F678" s="61" t="s">
        <v>2</v>
      </c>
      <c r="G678" s="62">
        <v>1</v>
      </c>
      <c r="H678" s="61" t="s">
        <v>7</v>
      </c>
      <c r="I678" s="61" t="s">
        <v>146</v>
      </c>
      <c r="J678" s="61" t="s">
        <v>73</v>
      </c>
      <c r="K678" s="12">
        <f>760691.8+29794.2-3176.6+85055.9+20210.8+19969.6+32916.9+8087.9</f>
        <v>953550.50000000012</v>
      </c>
      <c r="L678" s="12">
        <f>760691.8+29794.2-3176.6+85055.9+20210.8+19969.6+32916.9+8087.9</f>
        <v>953550.50000000012</v>
      </c>
      <c r="M678" s="12">
        <f t="shared" si="83"/>
        <v>100</v>
      </c>
      <c r="N678" s="9"/>
    </row>
    <row r="679" spans="1:14" s="28" customFormat="1" ht="16.149999999999999" customHeight="1" x14ac:dyDescent="0.2">
      <c r="A679" s="72"/>
      <c r="B679" s="19" t="s">
        <v>149</v>
      </c>
      <c r="C679" s="62">
        <v>925</v>
      </c>
      <c r="D679" s="61" t="s">
        <v>8</v>
      </c>
      <c r="E679" s="61" t="s">
        <v>4</v>
      </c>
      <c r="F679" s="61" t="s">
        <v>2</v>
      </c>
      <c r="G679" s="62">
        <v>1</v>
      </c>
      <c r="H679" s="61" t="s">
        <v>30</v>
      </c>
      <c r="I679" s="5" t="s">
        <v>557</v>
      </c>
      <c r="J679" s="40" t="s">
        <v>557</v>
      </c>
      <c r="K679" s="12">
        <f>SUM(K680+K686+K682+K690+K694+K684+K688+K692)</f>
        <v>143044.29999999999</v>
      </c>
      <c r="L679" s="12">
        <f>SUM(L680+L686+L682+L690+L694+L684+L688+L692)</f>
        <v>143044.29999999999</v>
      </c>
      <c r="M679" s="12">
        <f t="shared" si="83"/>
        <v>100</v>
      </c>
      <c r="N679" s="9"/>
    </row>
    <row r="680" spans="1:14" s="28" customFormat="1" ht="47.25" x14ac:dyDescent="0.2">
      <c r="A680" s="72"/>
      <c r="B680" s="20" t="s">
        <v>191</v>
      </c>
      <c r="C680" s="62">
        <v>925</v>
      </c>
      <c r="D680" s="61" t="s">
        <v>8</v>
      </c>
      <c r="E680" s="61" t="s">
        <v>4</v>
      </c>
      <c r="F680" s="61" t="s">
        <v>2</v>
      </c>
      <c r="G680" s="62">
        <v>1</v>
      </c>
      <c r="H680" s="61" t="s">
        <v>30</v>
      </c>
      <c r="I680" s="61" t="s">
        <v>150</v>
      </c>
      <c r="J680" s="40" t="s">
        <v>557</v>
      </c>
      <c r="K680" s="12">
        <f>SUM(K681)</f>
        <v>1843.7000000000003</v>
      </c>
      <c r="L680" s="12">
        <f>SUM(L681)</f>
        <v>1843.7000000000003</v>
      </c>
      <c r="M680" s="12">
        <f t="shared" si="83"/>
        <v>100</v>
      </c>
      <c r="N680" s="9"/>
    </row>
    <row r="681" spans="1:14" s="28" customFormat="1" ht="34.5" customHeight="1" x14ac:dyDescent="0.2">
      <c r="A681" s="72"/>
      <c r="B681" s="44" t="s">
        <v>162</v>
      </c>
      <c r="C681" s="62">
        <v>925</v>
      </c>
      <c r="D681" s="61" t="s">
        <v>8</v>
      </c>
      <c r="E681" s="61" t="s">
        <v>4</v>
      </c>
      <c r="F681" s="61" t="s">
        <v>2</v>
      </c>
      <c r="G681" s="62">
        <v>1</v>
      </c>
      <c r="H681" s="61" t="s">
        <v>30</v>
      </c>
      <c r="I681" s="61" t="s">
        <v>150</v>
      </c>
      <c r="J681" s="61" t="s">
        <v>73</v>
      </c>
      <c r="K681" s="12">
        <f>3887.1-1412.3-631.1</f>
        <v>1843.7000000000003</v>
      </c>
      <c r="L681" s="12">
        <f>3887.1-1412.3-631.1</f>
        <v>1843.7000000000003</v>
      </c>
      <c r="M681" s="12">
        <f t="shared" si="83"/>
        <v>100</v>
      </c>
      <c r="N681" s="9"/>
    </row>
    <row r="682" spans="1:14" s="28" customFormat="1" ht="126" x14ac:dyDescent="0.2">
      <c r="A682" s="72"/>
      <c r="B682" s="19" t="s">
        <v>425</v>
      </c>
      <c r="C682" s="62">
        <v>925</v>
      </c>
      <c r="D682" s="61" t="s">
        <v>8</v>
      </c>
      <c r="E682" s="61" t="s">
        <v>4</v>
      </c>
      <c r="F682" s="8" t="s">
        <v>2</v>
      </c>
      <c r="G682" s="8" t="s">
        <v>116</v>
      </c>
      <c r="H682" s="8" t="s">
        <v>30</v>
      </c>
      <c r="I682" s="8" t="s">
        <v>335</v>
      </c>
      <c r="J682" s="40" t="s">
        <v>557</v>
      </c>
      <c r="K682" s="12">
        <f>K683</f>
        <v>7191.5000000000018</v>
      </c>
      <c r="L682" s="12">
        <f>L683</f>
        <v>7191.5000000000018</v>
      </c>
      <c r="M682" s="12">
        <f t="shared" si="83"/>
        <v>100</v>
      </c>
      <c r="N682" s="9"/>
    </row>
    <row r="683" spans="1:14" ht="32.25" customHeight="1" x14ac:dyDescent="0.2">
      <c r="A683" s="72"/>
      <c r="B683" s="19" t="s">
        <v>315</v>
      </c>
      <c r="C683" s="62">
        <v>925</v>
      </c>
      <c r="D683" s="61" t="s">
        <v>8</v>
      </c>
      <c r="E683" s="61" t="s">
        <v>4</v>
      </c>
      <c r="F683" s="8" t="s">
        <v>2</v>
      </c>
      <c r="G683" s="8" t="s">
        <v>116</v>
      </c>
      <c r="H683" s="8" t="s">
        <v>30</v>
      </c>
      <c r="I683" s="8" t="s">
        <v>335</v>
      </c>
      <c r="J683" s="61" t="s">
        <v>73</v>
      </c>
      <c r="K683" s="12">
        <f>267.7+457.4+4516.1+973.6+345.6+631.1</f>
        <v>7191.5000000000018</v>
      </c>
      <c r="L683" s="12">
        <f>267.7+457.4+4516.1+973.6+345.6+631.1</f>
        <v>7191.5000000000018</v>
      </c>
      <c r="M683" s="12">
        <f t="shared" si="83"/>
        <v>100</v>
      </c>
    </row>
    <row r="684" spans="1:14" s="28" customFormat="1" ht="31.5" x14ac:dyDescent="0.2">
      <c r="A684" s="72"/>
      <c r="B684" s="19" t="s">
        <v>412</v>
      </c>
      <c r="C684" s="62">
        <v>925</v>
      </c>
      <c r="D684" s="61" t="s">
        <v>8</v>
      </c>
      <c r="E684" s="61" t="s">
        <v>4</v>
      </c>
      <c r="F684" s="8" t="s">
        <v>2</v>
      </c>
      <c r="G684" s="8" t="s">
        <v>116</v>
      </c>
      <c r="H684" s="8" t="s">
        <v>30</v>
      </c>
      <c r="I684" s="8" t="s">
        <v>411</v>
      </c>
      <c r="J684" s="40" t="s">
        <v>557</v>
      </c>
      <c r="K684" s="12">
        <f>K685</f>
        <v>1100.4000000000001</v>
      </c>
      <c r="L684" s="12">
        <f>L685</f>
        <v>1100.4000000000001</v>
      </c>
      <c r="M684" s="12">
        <f t="shared" si="83"/>
        <v>100</v>
      </c>
      <c r="N684" s="9"/>
    </row>
    <row r="685" spans="1:14" s="28" customFormat="1" ht="33.75" customHeight="1" x14ac:dyDescent="0.2">
      <c r="A685" s="72"/>
      <c r="B685" s="19" t="s">
        <v>315</v>
      </c>
      <c r="C685" s="62">
        <v>925</v>
      </c>
      <c r="D685" s="61" t="s">
        <v>8</v>
      </c>
      <c r="E685" s="61" t="s">
        <v>4</v>
      </c>
      <c r="F685" s="8" t="s">
        <v>2</v>
      </c>
      <c r="G685" s="8" t="s">
        <v>116</v>
      </c>
      <c r="H685" s="8" t="s">
        <v>30</v>
      </c>
      <c r="I685" s="8" t="s">
        <v>411</v>
      </c>
      <c r="J685" s="61" t="s">
        <v>73</v>
      </c>
      <c r="K685" s="12">
        <f>509.9+590.5</f>
        <v>1100.4000000000001</v>
      </c>
      <c r="L685" s="12">
        <f>509.9+590.5</f>
        <v>1100.4000000000001</v>
      </c>
      <c r="M685" s="12">
        <f t="shared" ref="M685:M743" si="88">SUM(L685/K685*100)</f>
        <v>100</v>
      </c>
      <c r="N685" s="9"/>
    </row>
    <row r="686" spans="1:14" ht="175.5" customHeight="1" x14ac:dyDescent="0.2">
      <c r="A686" s="72"/>
      <c r="B686" s="19" t="s">
        <v>511</v>
      </c>
      <c r="C686" s="62">
        <v>925</v>
      </c>
      <c r="D686" s="61" t="s">
        <v>8</v>
      </c>
      <c r="E686" s="61" t="s">
        <v>4</v>
      </c>
      <c r="F686" s="61" t="s">
        <v>2</v>
      </c>
      <c r="G686" s="62">
        <v>1</v>
      </c>
      <c r="H686" s="61" t="s">
        <v>30</v>
      </c>
      <c r="I686" s="61" t="s">
        <v>151</v>
      </c>
      <c r="J686" s="40" t="s">
        <v>557</v>
      </c>
      <c r="K686" s="12">
        <f>SUM(K687)</f>
        <v>18210.799999999996</v>
      </c>
      <c r="L686" s="12">
        <f>SUM(L687)</f>
        <v>18210.799999999996</v>
      </c>
      <c r="M686" s="12">
        <f t="shared" si="88"/>
        <v>100</v>
      </c>
    </row>
    <row r="687" spans="1:14" ht="35.25" customHeight="1" x14ac:dyDescent="0.2">
      <c r="A687" s="72"/>
      <c r="B687" s="44" t="s">
        <v>162</v>
      </c>
      <c r="C687" s="62">
        <v>925</v>
      </c>
      <c r="D687" s="61" t="s">
        <v>8</v>
      </c>
      <c r="E687" s="61" t="s">
        <v>4</v>
      </c>
      <c r="F687" s="61" t="s">
        <v>2</v>
      </c>
      <c r="G687" s="62">
        <v>1</v>
      </c>
      <c r="H687" s="61" t="s">
        <v>30</v>
      </c>
      <c r="I687" s="61" t="s">
        <v>151</v>
      </c>
      <c r="J687" s="61" t="s">
        <v>73</v>
      </c>
      <c r="K687" s="12">
        <f>800.8+13192.8+4397.6-180.4</f>
        <v>18210.799999999996</v>
      </c>
      <c r="L687" s="12">
        <f>800.8+13192.8+4397.6-180.4</f>
        <v>18210.799999999996</v>
      </c>
      <c r="M687" s="12">
        <f t="shared" si="88"/>
        <v>100</v>
      </c>
    </row>
    <row r="688" spans="1:14" s="28" customFormat="1" ht="126" x14ac:dyDescent="0.2">
      <c r="A688" s="72"/>
      <c r="B688" s="19" t="s">
        <v>383</v>
      </c>
      <c r="C688" s="62">
        <v>925</v>
      </c>
      <c r="D688" s="61" t="s">
        <v>8</v>
      </c>
      <c r="E688" s="61" t="s">
        <v>4</v>
      </c>
      <c r="F688" s="8" t="s">
        <v>2</v>
      </c>
      <c r="G688" s="8" t="s">
        <v>116</v>
      </c>
      <c r="H688" s="8" t="s">
        <v>30</v>
      </c>
      <c r="I688" s="8" t="s">
        <v>384</v>
      </c>
      <c r="J688" s="40" t="s">
        <v>557</v>
      </c>
      <c r="K688" s="12">
        <f>SUM(K689)</f>
        <v>1672.5</v>
      </c>
      <c r="L688" s="12">
        <f>SUM(L689)</f>
        <v>1672.5</v>
      </c>
      <c r="M688" s="12">
        <f t="shared" si="88"/>
        <v>100</v>
      </c>
      <c r="N688" s="9"/>
    </row>
    <row r="689" spans="1:14" s="28" customFormat="1" ht="33.75" customHeight="1" x14ac:dyDescent="0.2">
      <c r="A689" s="72"/>
      <c r="B689" s="19" t="s">
        <v>315</v>
      </c>
      <c r="C689" s="62">
        <v>925</v>
      </c>
      <c r="D689" s="61" t="s">
        <v>8</v>
      </c>
      <c r="E689" s="61" t="s">
        <v>4</v>
      </c>
      <c r="F689" s="8" t="s">
        <v>2</v>
      </c>
      <c r="G689" s="8" t="s">
        <v>116</v>
      </c>
      <c r="H689" s="8" t="s">
        <v>30</v>
      </c>
      <c r="I689" s="8" t="s">
        <v>384</v>
      </c>
      <c r="J689" s="61" t="s">
        <v>73</v>
      </c>
      <c r="K689" s="12">
        <f>1392.1+280.4</f>
        <v>1672.5</v>
      </c>
      <c r="L689" s="12">
        <f>1392.1+280.4</f>
        <v>1672.5</v>
      </c>
      <c r="M689" s="12">
        <f t="shared" si="88"/>
        <v>100</v>
      </c>
      <c r="N689" s="9"/>
    </row>
    <row r="690" spans="1:14" s="28" customFormat="1" ht="63" x14ac:dyDescent="0.2">
      <c r="A690" s="72"/>
      <c r="B690" s="19" t="s">
        <v>519</v>
      </c>
      <c r="C690" s="62">
        <v>925</v>
      </c>
      <c r="D690" s="61" t="s">
        <v>8</v>
      </c>
      <c r="E690" s="61" t="s">
        <v>4</v>
      </c>
      <c r="F690" s="8" t="s">
        <v>2</v>
      </c>
      <c r="G690" s="8" t="s">
        <v>116</v>
      </c>
      <c r="H690" s="8" t="s">
        <v>30</v>
      </c>
      <c r="I690" s="8" t="s">
        <v>353</v>
      </c>
      <c r="J690" s="40" t="s">
        <v>557</v>
      </c>
      <c r="K690" s="12">
        <f>K691</f>
        <v>68539.600000000006</v>
      </c>
      <c r="L690" s="12">
        <f>L691</f>
        <v>68539.600000000006</v>
      </c>
      <c r="M690" s="12">
        <f t="shared" si="88"/>
        <v>100</v>
      </c>
      <c r="N690" s="9"/>
    </row>
    <row r="691" spans="1:14" s="28" customFormat="1" ht="32.25" customHeight="1" x14ac:dyDescent="0.2">
      <c r="A691" s="72"/>
      <c r="B691" s="19" t="s">
        <v>315</v>
      </c>
      <c r="C691" s="62">
        <v>925</v>
      </c>
      <c r="D691" s="61" t="s">
        <v>8</v>
      </c>
      <c r="E691" s="61" t="s">
        <v>4</v>
      </c>
      <c r="F691" s="8" t="s">
        <v>2</v>
      </c>
      <c r="G691" s="8" t="s">
        <v>116</v>
      </c>
      <c r="H691" s="8" t="s">
        <v>30</v>
      </c>
      <c r="I691" s="8" t="s">
        <v>353</v>
      </c>
      <c r="J691" s="61" t="s">
        <v>73</v>
      </c>
      <c r="K691" s="12">
        <v>68539.600000000006</v>
      </c>
      <c r="L691" s="12">
        <v>68539.600000000006</v>
      </c>
      <c r="M691" s="12">
        <f t="shared" si="88"/>
        <v>100</v>
      </c>
      <c r="N691" s="9"/>
    </row>
    <row r="692" spans="1:14" s="28" customFormat="1" ht="63" x14ac:dyDescent="0.2">
      <c r="A692" s="72"/>
      <c r="B692" s="19" t="s">
        <v>525</v>
      </c>
      <c r="C692" s="62">
        <v>925</v>
      </c>
      <c r="D692" s="61" t="s">
        <v>8</v>
      </c>
      <c r="E692" s="61" t="s">
        <v>4</v>
      </c>
      <c r="F692" s="61" t="s">
        <v>2</v>
      </c>
      <c r="G692" s="62">
        <v>1</v>
      </c>
      <c r="H692" s="61" t="s">
        <v>30</v>
      </c>
      <c r="I692" s="8" t="s">
        <v>382</v>
      </c>
      <c r="J692" s="40" t="s">
        <v>557</v>
      </c>
      <c r="K692" s="12">
        <f>SUM(K693)</f>
        <v>14824.9</v>
      </c>
      <c r="L692" s="12">
        <f>SUM(L693)</f>
        <v>14824.9</v>
      </c>
      <c r="M692" s="12">
        <f t="shared" si="88"/>
        <v>100</v>
      </c>
      <c r="N692" s="9"/>
    </row>
    <row r="693" spans="1:14" s="28" customFormat="1" ht="33" customHeight="1" x14ac:dyDescent="0.2">
      <c r="A693" s="72"/>
      <c r="B693" s="19" t="s">
        <v>315</v>
      </c>
      <c r="C693" s="62">
        <v>925</v>
      </c>
      <c r="D693" s="61" t="s">
        <v>8</v>
      </c>
      <c r="E693" s="61" t="s">
        <v>4</v>
      </c>
      <c r="F693" s="61" t="s">
        <v>2</v>
      </c>
      <c r="G693" s="62">
        <v>1</v>
      </c>
      <c r="H693" s="61" t="s">
        <v>30</v>
      </c>
      <c r="I693" s="8" t="s">
        <v>382</v>
      </c>
      <c r="J693" s="61" t="s">
        <v>73</v>
      </c>
      <c r="K693" s="12">
        <f>5500.5+6457.1+1548.3+1319</f>
        <v>14824.9</v>
      </c>
      <c r="L693" s="12">
        <f>5500.5+6457.1+1548.3+1319</f>
        <v>14824.9</v>
      </c>
      <c r="M693" s="12">
        <f t="shared" si="88"/>
        <v>100</v>
      </c>
      <c r="N693" s="9"/>
    </row>
    <row r="694" spans="1:14" s="28" customFormat="1" ht="78.75" x14ac:dyDescent="0.2">
      <c r="A694" s="72"/>
      <c r="B694" s="19" t="s">
        <v>365</v>
      </c>
      <c r="C694" s="62">
        <v>925</v>
      </c>
      <c r="D694" s="61" t="s">
        <v>8</v>
      </c>
      <c r="E694" s="61" t="s">
        <v>4</v>
      </c>
      <c r="F694" s="8" t="s">
        <v>2</v>
      </c>
      <c r="G694" s="8" t="s">
        <v>116</v>
      </c>
      <c r="H694" s="8" t="s">
        <v>30</v>
      </c>
      <c r="I694" s="8" t="s">
        <v>366</v>
      </c>
      <c r="J694" s="40" t="s">
        <v>557</v>
      </c>
      <c r="K694" s="12">
        <f>K695</f>
        <v>29660.9</v>
      </c>
      <c r="L694" s="12">
        <f>L695</f>
        <v>29660.9</v>
      </c>
      <c r="M694" s="12">
        <f t="shared" si="88"/>
        <v>100</v>
      </c>
      <c r="N694" s="9"/>
    </row>
    <row r="695" spans="1:14" s="28" customFormat="1" ht="37.5" customHeight="1" x14ac:dyDescent="0.2">
      <c r="A695" s="72"/>
      <c r="B695" s="19" t="s">
        <v>315</v>
      </c>
      <c r="C695" s="62">
        <v>925</v>
      </c>
      <c r="D695" s="61" t="s">
        <v>8</v>
      </c>
      <c r="E695" s="61" t="s">
        <v>4</v>
      </c>
      <c r="F695" s="8" t="s">
        <v>2</v>
      </c>
      <c r="G695" s="8" t="s">
        <v>116</v>
      </c>
      <c r="H695" s="8" t="s">
        <v>30</v>
      </c>
      <c r="I695" s="8" t="s">
        <v>366</v>
      </c>
      <c r="J695" s="61" t="s">
        <v>73</v>
      </c>
      <c r="K695" s="12">
        <f>28099.7+1561.2</f>
        <v>29660.9</v>
      </c>
      <c r="L695" s="12">
        <f>28099.7+1561.2</f>
        <v>29660.9</v>
      </c>
      <c r="M695" s="12">
        <f t="shared" si="88"/>
        <v>100</v>
      </c>
      <c r="N695" s="9"/>
    </row>
    <row r="696" spans="1:14" s="28" customFormat="1" ht="63" x14ac:dyDescent="0.2">
      <c r="A696" s="72"/>
      <c r="B696" s="19" t="s">
        <v>368</v>
      </c>
      <c r="C696" s="62">
        <v>925</v>
      </c>
      <c r="D696" s="61" t="s">
        <v>8</v>
      </c>
      <c r="E696" s="61" t="s">
        <v>4</v>
      </c>
      <c r="F696" s="8" t="s">
        <v>370</v>
      </c>
      <c r="G696" s="8" t="s">
        <v>116</v>
      </c>
      <c r="H696" s="8" t="s">
        <v>8</v>
      </c>
      <c r="I696" s="5" t="s">
        <v>557</v>
      </c>
      <c r="J696" s="40" t="s">
        <v>557</v>
      </c>
      <c r="K696" s="12">
        <f>K697</f>
        <v>518.6</v>
      </c>
      <c r="L696" s="12">
        <f>L697</f>
        <v>518.6</v>
      </c>
      <c r="M696" s="12">
        <f t="shared" si="88"/>
        <v>100</v>
      </c>
      <c r="N696" s="9"/>
    </row>
    <row r="697" spans="1:14" s="28" customFormat="1" ht="50.25" customHeight="1" x14ac:dyDescent="0.2">
      <c r="A697" s="72"/>
      <c r="B697" s="19" t="s">
        <v>369</v>
      </c>
      <c r="C697" s="62">
        <v>925</v>
      </c>
      <c r="D697" s="61" t="s">
        <v>8</v>
      </c>
      <c r="E697" s="61" t="s">
        <v>4</v>
      </c>
      <c r="F697" s="8" t="s">
        <v>2</v>
      </c>
      <c r="G697" s="8" t="s">
        <v>116</v>
      </c>
      <c r="H697" s="8" t="s">
        <v>8</v>
      </c>
      <c r="I697" s="8" t="s">
        <v>371</v>
      </c>
      <c r="J697" s="40" t="s">
        <v>557</v>
      </c>
      <c r="K697" s="12">
        <f>K698</f>
        <v>518.6</v>
      </c>
      <c r="L697" s="12">
        <f>L698</f>
        <v>518.6</v>
      </c>
      <c r="M697" s="12">
        <f t="shared" si="88"/>
        <v>100</v>
      </c>
      <c r="N697" s="9"/>
    </row>
    <row r="698" spans="1:14" s="28" customFormat="1" x14ac:dyDescent="0.2">
      <c r="A698" s="72"/>
      <c r="B698" s="19" t="s">
        <v>22</v>
      </c>
      <c r="C698" s="62">
        <v>925</v>
      </c>
      <c r="D698" s="61" t="s">
        <v>8</v>
      </c>
      <c r="E698" s="61" t="s">
        <v>4</v>
      </c>
      <c r="F698" s="8" t="s">
        <v>2</v>
      </c>
      <c r="G698" s="8" t="s">
        <v>116</v>
      </c>
      <c r="H698" s="8" t="s">
        <v>8</v>
      </c>
      <c r="I698" s="8" t="s">
        <v>371</v>
      </c>
      <c r="J698" s="61" t="s">
        <v>69</v>
      </c>
      <c r="K698" s="12">
        <v>518.6</v>
      </c>
      <c r="L698" s="12">
        <v>518.6</v>
      </c>
      <c r="M698" s="12">
        <f t="shared" si="88"/>
        <v>100</v>
      </c>
      <c r="N698" s="9"/>
    </row>
    <row r="699" spans="1:14" s="28" customFormat="1" ht="31.5" x14ac:dyDescent="0.2">
      <c r="A699" s="72"/>
      <c r="B699" s="19" t="s">
        <v>427</v>
      </c>
      <c r="C699" s="62">
        <v>925</v>
      </c>
      <c r="D699" s="61" t="s">
        <v>8</v>
      </c>
      <c r="E699" s="61" t="s">
        <v>4</v>
      </c>
      <c r="F699" s="8" t="s">
        <v>2</v>
      </c>
      <c r="G699" s="8" t="s">
        <v>116</v>
      </c>
      <c r="H699" s="8" t="s">
        <v>416</v>
      </c>
      <c r="I699" s="5" t="s">
        <v>557</v>
      </c>
      <c r="J699" s="40" t="s">
        <v>557</v>
      </c>
      <c r="K699" s="12">
        <f>SUM(K700)</f>
        <v>5605.3</v>
      </c>
      <c r="L699" s="12">
        <f>SUM(L700)</f>
        <v>5605.3</v>
      </c>
      <c r="M699" s="12">
        <f t="shared" si="88"/>
        <v>100</v>
      </c>
      <c r="N699" s="9"/>
    </row>
    <row r="700" spans="1:14" s="28" customFormat="1" ht="78.75" x14ac:dyDescent="0.2">
      <c r="A700" s="72"/>
      <c r="B700" s="19" t="s">
        <v>458</v>
      </c>
      <c r="C700" s="62">
        <v>925</v>
      </c>
      <c r="D700" s="61" t="s">
        <v>8</v>
      </c>
      <c r="E700" s="61" t="s">
        <v>4</v>
      </c>
      <c r="F700" s="8" t="s">
        <v>2</v>
      </c>
      <c r="G700" s="8" t="s">
        <v>116</v>
      </c>
      <c r="H700" s="8" t="s">
        <v>416</v>
      </c>
      <c r="I700" s="8" t="s">
        <v>459</v>
      </c>
      <c r="J700" s="40" t="s">
        <v>557</v>
      </c>
      <c r="K700" s="12">
        <f>SUM(K701)</f>
        <v>5605.3</v>
      </c>
      <c r="L700" s="12">
        <f>SUM(L701)</f>
        <v>5605.3</v>
      </c>
      <c r="M700" s="12">
        <f t="shared" si="88"/>
        <v>100</v>
      </c>
      <c r="N700" s="9"/>
    </row>
    <row r="701" spans="1:14" s="28" customFormat="1" ht="33" customHeight="1" x14ac:dyDescent="0.2">
      <c r="A701" s="72"/>
      <c r="B701" s="19" t="s">
        <v>315</v>
      </c>
      <c r="C701" s="62">
        <v>925</v>
      </c>
      <c r="D701" s="61" t="s">
        <v>8</v>
      </c>
      <c r="E701" s="61" t="s">
        <v>4</v>
      </c>
      <c r="F701" s="8" t="s">
        <v>2</v>
      </c>
      <c r="G701" s="8" t="s">
        <v>116</v>
      </c>
      <c r="H701" s="8" t="s">
        <v>416</v>
      </c>
      <c r="I701" s="8" t="s">
        <v>459</v>
      </c>
      <c r="J701" s="61" t="s">
        <v>73</v>
      </c>
      <c r="K701" s="12">
        <v>5605.3</v>
      </c>
      <c r="L701" s="12">
        <v>5605.3</v>
      </c>
      <c r="M701" s="12">
        <f t="shared" si="88"/>
        <v>100</v>
      </c>
      <c r="N701" s="9"/>
    </row>
    <row r="702" spans="1:14" s="28" customFormat="1" ht="31.5" x14ac:dyDescent="0.2">
      <c r="A702" s="72"/>
      <c r="B702" s="41" t="s">
        <v>314</v>
      </c>
      <c r="C702" s="62">
        <v>925</v>
      </c>
      <c r="D702" s="61" t="s">
        <v>8</v>
      </c>
      <c r="E702" s="61" t="s">
        <v>4</v>
      </c>
      <c r="F702" s="8" t="s">
        <v>4</v>
      </c>
      <c r="G702" s="40" t="s">
        <v>557</v>
      </c>
      <c r="H702" s="5" t="s">
        <v>557</v>
      </c>
      <c r="I702" s="5" t="s">
        <v>557</v>
      </c>
      <c r="J702" s="40" t="s">
        <v>557</v>
      </c>
      <c r="K702" s="12">
        <f>K703</f>
        <v>83033.2</v>
      </c>
      <c r="L702" s="12">
        <f>L703</f>
        <v>83033.2</v>
      </c>
      <c r="M702" s="12">
        <f t="shared" si="88"/>
        <v>100</v>
      </c>
      <c r="N702" s="9"/>
    </row>
    <row r="703" spans="1:14" s="28" customFormat="1" ht="31.5" x14ac:dyDescent="0.2">
      <c r="A703" s="72"/>
      <c r="B703" s="41" t="s">
        <v>136</v>
      </c>
      <c r="C703" s="62">
        <v>925</v>
      </c>
      <c r="D703" s="61" t="s">
        <v>8</v>
      </c>
      <c r="E703" s="61" t="s">
        <v>4</v>
      </c>
      <c r="F703" s="8" t="s">
        <v>4</v>
      </c>
      <c r="G703" s="8" t="s">
        <v>116</v>
      </c>
      <c r="H703" s="5" t="s">
        <v>557</v>
      </c>
      <c r="I703" s="5" t="s">
        <v>557</v>
      </c>
      <c r="J703" s="40" t="s">
        <v>557</v>
      </c>
      <c r="K703" s="12">
        <f>K704</f>
        <v>83033.2</v>
      </c>
      <c r="L703" s="12">
        <f>L704</f>
        <v>83033.2</v>
      </c>
      <c r="M703" s="12">
        <f t="shared" si="88"/>
        <v>100</v>
      </c>
      <c r="N703" s="9"/>
    </row>
    <row r="704" spans="1:14" s="28" customFormat="1" ht="78.75" x14ac:dyDescent="0.2">
      <c r="A704" s="72"/>
      <c r="B704" s="41" t="s">
        <v>137</v>
      </c>
      <c r="C704" s="62">
        <v>925</v>
      </c>
      <c r="D704" s="61" t="s">
        <v>8</v>
      </c>
      <c r="E704" s="61" t="s">
        <v>4</v>
      </c>
      <c r="F704" s="8" t="s">
        <v>4</v>
      </c>
      <c r="G704" s="8" t="s">
        <v>116</v>
      </c>
      <c r="H704" s="8" t="s">
        <v>2</v>
      </c>
      <c r="I704" s="5" t="s">
        <v>557</v>
      </c>
      <c r="J704" s="40" t="s">
        <v>557</v>
      </c>
      <c r="K704" s="12">
        <f>K705+K707</f>
        <v>83033.2</v>
      </c>
      <c r="L704" s="12">
        <f>L705+L707</f>
        <v>83033.2</v>
      </c>
      <c r="M704" s="12">
        <f t="shared" si="88"/>
        <v>100</v>
      </c>
      <c r="N704" s="9"/>
    </row>
    <row r="705" spans="1:14" s="28" customFormat="1" ht="47.25" x14ac:dyDescent="0.2">
      <c r="A705" s="72"/>
      <c r="B705" s="41" t="s">
        <v>351</v>
      </c>
      <c r="C705" s="62">
        <v>925</v>
      </c>
      <c r="D705" s="61" t="s">
        <v>8</v>
      </c>
      <c r="E705" s="61" t="s">
        <v>4</v>
      </c>
      <c r="F705" s="8" t="s">
        <v>4</v>
      </c>
      <c r="G705" s="8" t="s">
        <v>116</v>
      </c>
      <c r="H705" s="8" t="s">
        <v>2</v>
      </c>
      <c r="I705" s="8" t="s">
        <v>313</v>
      </c>
      <c r="J705" s="40" t="s">
        <v>557</v>
      </c>
      <c r="K705" s="12">
        <f>K706</f>
        <v>81733.2</v>
      </c>
      <c r="L705" s="12">
        <f>L706</f>
        <v>81733.2</v>
      </c>
      <c r="M705" s="12">
        <f t="shared" si="88"/>
        <v>100</v>
      </c>
      <c r="N705" s="9"/>
    </row>
    <row r="706" spans="1:14" s="28" customFormat="1" ht="35.25" customHeight="1" x14ac:dyDescent="0.2">
      <c r="A706" s="72"/>
      <c r="B706" s="19" t="s">
        <v>315</v>
      </c>
      <c r="C706" s="62">
        <v>925</v>
      </c>
      <c r="D706" s="61" t="s">
        <v>8</v>
      </c>
      <c r="E706" s="61" t="s">
        <v>4</v>
      </c>
      <c r="F706" s="8" t="s">
        <v>4</v>
      </c>
      <c r="G706" s="8" t="s">
        <v>116</v>
      </c>
      <c r="H706" s="8" t="s">
        <v>2</v>
      </c>
      <c r="I706" s="8" t="s">
        <v>313</v>
      </c>
      <c r="J706" s="61" t="s">
        <v>73</v>
      </c>
      <c r="K706" s="12">
        <v>81733.2</v>
      </c>
      <c r="L706" s="12">
        <v>81733.2</v>
      </c>
      <c r="M706" s="12">
        <f t="shared" si="88"/>
        <v>100</v>
      </c>
      <c r="N706" s="9"/>
    </row>
    <row r="707" spans="1:14" s="28" customFormat="1" ht="47.25" x14ac:dyDescent="0.2">
      <c r="A707" s="72"/>
      <c r="B707" s="41" t="s">
        <v>475</v>
      </c>
      <c r="C707" s="62">
        <v>925</v>
      </c>
      <c r="D707" s="61" t="s">
        <v>8</v>
      </c>
      <c r="E707" s="61" t="s">
        <v>4</v>
      </c>
      <c r="F707" s="8" t="s">
        <v>4</v>
      </c>
      <c r="G707" s="62">
        <v>1</v>
      </c>
      <c r="H707" s="61" t="s">
        <v>2</v>
      </c>
      <c r="I707" s="61" t="s">
        <v>474</v>
      </c>
      <c r="J707" s="40" t="s">
        <v>557</v>
      </c>
      <c r="K707" s="12">
        <f>SUM(K708)</f>
        <v>1300</v>
      </c>
      <c r="L707" s="12">
        <f>SUM(L708)</f>
        <v>1300</v>
      </c>
      <c r="M707" s="12">
        <f t="shared" si="88"/>
        <v>100</v>
      </c>
      <c r="N707" s="9"/>
    </row>
    <row r="708" spans="1:14" s="28" customFormat="1" ht="33" customHeight="1" x14ac:dyDescent="0.2">
      <c r="A708" s="72"/>
      <c r="B708" s="19" t="s">
        <v>72</v>
      </c>
      <c r="C708" s="62">
        <v>925</v>
      </c>
      <c r="D708" s="61" t="s">
        <v>8</v>
      </c>
      <c r="E708" s="61" t="s">
        <v>4</v>
      </c>
      <c r="F708" s="8" t="s">
        <v>4</v>
      </c>
      <c r="G708" s="62">
        <v>1</v>
      </c>
      <c r="H708" s="61" t="s">
        <v>2</v>
      </c>
      <c r="I708" s="61" t="s">
        <v>474</v>
      </c>
      <c r="J708" s="61" t="s">
        <v>73</v>
      </c>
      <c r="K708" s="12">
        <v>1300</v>
      </c>
      <c r="L708" s="12">
        <v>1300</v>
      </c>
      <c r="M708" s="12">
        <f t="shared" si="88"/>
        <v>100</v>
      </c>
      <c r="N708" s="9"/>
    </row>
    <row r="709" spans="1:14" s="28" customFormat="1" ht="47.25" x14ac:dyDescent="0.2">
      <c r="A709" s="72"/>
      <c r="B709" s="41" t="s">
        <v>230</v>
      </c>
      <c r="C709" s="62">
        <v>925</v>
      </c>
      <c r="D709" s="61" t="s">
        <v>8</v>
      </c>
      <c r="E709" s="61" t="s">
        <v>4</v>
      </c>
      <c r="F709" s="8" t="s">
        <v>30</v>
      </c>
      <c r="G709" s="40" t="s">
        <v>557</v>
      </c>
      <c r="H709" s="5" t="s">
        <v>557</v>
      </c>
      <c r="I709" s="5" t="s">
        <v>557</v>
      </c>
      <c r="J709" s="40" t="s">
        <v>557</v>
      </c>
      <c r="K709" s="12">
        <f t="shared" ref="K709:L712" si="89">K710</f>
        <v>1524</v>
      </c>
      <c r="L709" s="12">
        <f t="shared" si="89"/>
        <v>1524</v>
      </c>
      <c r="M709" s="12">
        <f t="shared" si="88"/>
        <v>100</v>
      </c>
      <c r="N709" s="9"/>
    </row>
    <row r="710" spans="1:14" s="28" customFormat="1" ht="47.25" customHeight="1" x14ac:dyDescent="0.2">
      <c r="A710" s="72"/>
      <c r="B710" s="52" t="s">
        <v>258</v>
      </c>
      <c r="C710" s="62">
        <v>925</v>
      </c>
      <c r="D710" s="61" t="s">
        <v>8</v>
      </c>
      <c r="E710" s="61" t="s">
        <v>4</v>
      </c>
      <c r="F710" s="8" t="s">
        <v>30</v>
      </c>
      <c r="G710" s="8" t="s">
        <v>116</v>
      </c>
      <c r="H710" s="5" t="s">
        <v>557</v>
      </c>
      <c r="I710" s="5" t="s">
        <v>557</v>
      </c>
      <c r="J710" s="40" t="s">
        <v>557</v>
      </c>
      <c r="K710" s="12">
        <f t="shared" si="89"/>
        <v>1524</v>
      </c>
      <c r="L710" s="12">
        <f t="shared" si="89"/>
        <v>1524</v>
      </c>
      <c r="M710" s="12">
        <f t="shared" si="88"/>
        <v>100</v>
      </c>
      <c r="N710" s="9"/>
    </row>
    <row r="711" spans="1:14" s="28" customFormat="1" ht="49.5" customHeight="1" x14ac:dyDescent="0.2">
      <c r="A711" s="72"/>
      <c r="B711" s="41" t="s">
        <v>102</v>
      </c>
      <c r="C711" s="62">
        <v>925</v>
      </c>
      <c r="D711" s="61" t="s">
        <v>8</v>
      </c>
      <c r="E711" s="61" t="s">
        <v>4</v>
      </c>
      <c r="F711" s="8" t="s">
        <v>30</v>
      </c>
      <c r="G711" s="8" t="s">
        <v>116</v>
      </c>
      <c r="H711" s="8" t="s">
        <v>2</v>
      </c>
      <c r="I711" s="5" t="s">
        <v>557</v>
      </c>
      <c r="J711" s="40" t="s">
        <v>557</v>
      </c>
      <c r="K711" s="12">
        <f t="shared" si="89"/>
        <v>1524</v>
      </c>
      <c r="L711" s="12">
        <f t="shared" si="89"/>
        <v>1524</v>
      </c>
      <c r="M711" s="12">
        <f t="shared" si="88"/>
        <v>100</v>
      </c>
      <c r="N711" s="9"/>
    </row>
    <row r="712" spans="1:14" s="28" customFormat="1" ht="31.5" x14ac:dyDescent="0.2">
      <c r="A712" s="72"/>
      <c r="B712" s="41" t="s">
        <v>532</v>
      </c>
      <c r="C712" s="62">
        <v>925</v>
      </c>
      <c r="D712" s="61" t="s">
        <v>8</v>
      </c>
      <c r="E712" s="61" t="s">
        <v>4</v>
      </c>
      <c r="F712" s="8" t="s">
        <v>30</v>
      </c>
      <c r="G712" s="8" t="s">
        <v>116</v>
      </c>
      <c r="H712" s="8" t="s">
        <v>2</v>
      </c>
      <c r="I712" s="8" t="s">
        <v>533</v>
      </c>
      <c r="J712" s="40" t="s">
        <v>557</v>
      </c>
      <c r="K712" s="12">
        <f t="shared" si="89"/>
        <v>1524</v>
      </c>
      <c r="L712" s="12">
        <f t="shared" si="89"/>
        <v>1524</v>
      </c>
      <c r="M712" s="12">
        <f t="shared" si="88"/>
        <v>100</v>
      </c>
      <c r="N712" s="9"/>
    </row>
    <row r="713" spans="1:14" s="28" customFormat="1" ht="32.25" customHeight="1" x14ac:dyDescent="0.2">
      <c r="A713" s="72"/>
      <c r="B713" s="41" t="s">
        <v>72</v>
      </c>
      <c r="C713" s="62">
        <v>925</v>
      </c>
      <c r="D713" s="61" t="s">
        <v>8</v>
      </c>
      <c r="E713" s="61" t="s">
        <v>4</v>
      </c>
      <c r="F713" s="8" t="s">
        <v>30</v>
      </c>
      <c r="G713" s="8" t="s">
        <v>116</v>
      </c>
      <c r="H713" s="8" t="s">
        <v>2</v>
      </c>
      <c r="I713" s="8" t="s">
        <v>533</v>
      </c>
      <c r="J713" s="61" t="s">
        <v>73</v>
      </c>
      <c r="K713" s="12">
        <v>1524</v>
      </c>
      <c r="L713" s="12">
        <v>1524</v>
      </c>
      <c r="M713" s="12">
        <f t="shared" si="88"/>
        <v>100</v>
      </c>
      <c r="N713" s="9"/>
    </row>
    <row r="714" spans="1:14" s="28" customFormat="1" ht="47.25" x14ac:dyDescent="0.2">
      <c r="A714" s="72"/>
      <c r="B714" s="41" t="s">
        <v>196</v>
      </c>
      <c r="C714" s="62">
        <v>925</v>
      </c>
      <c r="D714" s="61" t="s">
        <v>8</v>
      </c>
      <c r="E714" s="61" t="s">
        <v>4</v>
      </c>
      <c r="F714" s="8" t="s">
        <v>41</v>
      </c>
      <c r="G714" s="40" t="s">
        <v>557</v>
      </c>
      <c r="H714" s="5" t="s">
        <v>557</v>
      </c>
      <c r="I714" s="5" t="s">
        <v>557</v>
      </c>
      <c r="J714" s="40" t="s">
        <v>557</v>
      </c>
      <c r="K714" s="12">
        <f>K715+K719</f>
        <v>66899.200000000012</v>
      </c>
      <c r="L714" s="12">
        <f>L715+L719</f>
        <v>66899.200000000012</v>
      </c>
      <c r="M714" s="12">
        <f t="shared" si="88"/>
        <v>100</v>
      </c>
      <c r="N714" s="9"/>
    </row>
    <row r="715" spans="1:14" s="28" customFormat="1" ht="31.5" x14ac:dyDescent="0.2">
      <c r="A715" s="72"/>
      <c r="B715" s="41" t="s">
        <v>253</v>
      </c>
      <c r="C715" s="62">
        <v>925</v>
      </c>
      <c r="D715" s="61" t="s">
        <v>8</v>
      </c>
      <c r="E715" s="61" t="s">
        <v>4</v>
      </c>
      <c r="F715" s="61" t="s">
        <v>41</v>
      </c>
      <c r="G715" s="62">
        <v>2</v>
      </c>
      <c r="H715" s="5" t="s">
        <v>557</v>
      </c>
      <c r="I715" s="5" t="s">
        <v>557</v>
      </c>
      <c r="J715" s="40" t="s">
        <v>557</v>
      </c>
      <c r="K715" s="12">
        <f t="shared" ref="K715:L717" si="90">K716</f>
        <v>13127.2</v>
      </c>
      <c r="L715" s="12">
        <f t="shared" si="90"/>
        <v>13127.2</v>
      </c>
      <c r="M715" s="12">
        <f t="shared" si="88"/>
        <v>100</v>
      </c>
      <c r="N715" s="9"/>
    </row>
    <row r="716" spans="1:14" s="28" customFormat="1" ht="31.5" x14ac:dyDescent="0.2">
      <c r="A716" s="72"/>
      <c r="B716" s="41" t="s">
        <v>317</v>
      </c>
      <c r="C716" s="62">
        <v>925</v>
      </c>
      <c r="D716" s="61" t="s">
        <v>8</v>
      </c>
      <c r="E716" s="61" t="s">
        <v>4</v>
      </c>
      <c r="F716" s="61" t="s">
        <v>41</v>
      </c>
      <c r="G716" s="62">
        <v>2</v>
      </c>
      <c r="H716" s="61" t="s">
        <v>4</v>
      </c>
      <c r="I716" s="5" t="s">
        <v>557</v>
      </c>
      <c r="J716" s="40" t="s">
        <v>557</v>
      </c>
      <c r="K716" s="12">
        <f t="shared" si="90"/>
        <v>13127.2</v>
      </c>
      <c r="L716" s="12">
        <f t="shared" si="90"/>
        <v>13127.2</v>
      </c>
      <c r="M716" s="12">
        <f t="shared" si="88"/>
        <v>100</v>
      </c>
      <c r="N716" s="9"/>
    </row>
    <row r="717" spans="1:14" s="28" customFormat="1" ht="78.75" x14ac:dyDescent="0.2">
      <c r="A717" s="72"/>
      <c r="B717" s="41" t="s">
        <v>352</v>
      </c>
      <c r="C717" s="62">
        <v>925</v>
      </c>
      <c r="D717" s="61" t="s">
        <v>8</v>
      </c>
      <c r="E717" s="61" t="s">
        <v>4</v>
      </c>
      <c r="F717" s="61" t="s">
        <v>41</v>
      </c>
      <c r="G717" s="62">
        <v>2</v>
      </c>
      <c r="H717" s="61" t="s">
        <v>4</v>
      </c>
      <c r="I717" s="61" t="s">
        <v>316</v>
      </c>
      <c r="J717" s="40" t="s">
        <v>557</v>
      </c>
      <c r="K717" s="12">
        <f t="shared" si="90"/>
        <v>13127.2</v>
      </c>
      <c r="L717" s="12">
        <f t="shared" si="90"/>
        <v>13127.2</v>
      </c>
      <c r="M717" s="12">
        <f t="shared" si="88"/>
        <v>100</v>
      </c>
      <c r="N717" s="9"/>
    </row>
    <row r="718" spans="1:14" s="28" customFormat="1" ht="31.5" customHeight="1" x14ac:dyDescent="0.2">
      <c r="A718" s="72"/>
      <c r="B718" s="19" t="s">
        <v>72</v>
      </c>
      <c r="C718" s="62">
        <v>925</v>
      </c>
      <c r="D718" s="61" t="s">
        <v>8</v>
      </c>
      <c r="E718" s="61" t="s">
        <v>4</v>
      </c>
      <c r="F718" s="61" t="s">
        <v>41</v>
      </c>
      <c r="G718" s="62">
        <v>2</v>
      </c>
      <c r="H718" s="61" t="s">
        <v>4</v>
      </c>
      <c r="I718" s="61" t="s">
        <v>316</v>
      </c>
      <c r="J718" s="61" t="s">
        <v>73</v>
      </c>
      <c r="K718" s="12">
        <f>1600.7+3217.8+0.1+418.3+3035.8+197.4+251.1+173.9+1496.3+373.9+0.1+362.2+1999.6</f>
        <v>13127.2</v>
      </c>
      <c r="L718" s="12">
        <f>1600.7+3217.8+0.1+418.3+3035.8+197.4+251.1+173.9+1496.3+373.9+0.1+362.2+1999.6</f>
        <v>13127.2</v>
      </c>
      <c r="M718" s="12">
        <f t="shared" si="88"/>
        <v>100</v>
      </c>
      <c r="N718" s="9"/>
    </row>
    <row r="719" spans="1:14" s="28" customFormat="1" ht="47.25" x14ac:dyDescent="0.2">
      <c r="A719" s="72"/>
      <c r="B719" s="41" t="s">
        <v>197</v>
      </c>
      <c r="C719" s="62">
        <v>925</v>
      </c>
      <c r="D719" s="61" t="s">
        <v>8</v>
      </c>
      <c r="E719" s="61" t="s">
        <v>4</v>
      </c>
      <c r="F719" s="8" t="s">
        <v>41</v>
      </c>
      <c r="G719" s="8" t="s">
        <v>189</v>
      </c>
      <c r="H719" s="5" t="s">
        <v>557</v>
      </c>
      <c r="I719" s="5" t="s">
        <v>557</v>
      </c>
      <c r="J719" s="40" t="s">
        <v>557</v>
      </c>
      <c r="K719" s="12">
        <f>SUM(K720)</f>
        <v>53772.000000000007</v>
      </c>
      <c r="L719" s="12">
        <f>SUM(L720)</f>
        <v>53772.000000000007</v>
      </c>
      <c r="M719" s="12">
        <f t="shared" si="88"/>
        <v>100</v>
      </c>
      <c r="N719" s="9"/>
    </row>
    <row r="720" spans="1:14" s="28" customFormat="1" ht="47.25" x14ac:dyDescent="0.2">
      <c r="A720" s="72"/>
      <c r="B720" s="41" t="s">
        <v>188</v>
      </c>
      <c r="C720" s="62">
        <v>925</v>
      </c>
      <c r="D720" s="61" t="s">
        <v>8</v>
      </c>
      <c r="E720" s="61" t="s">
        <v>4</v>
      </c>
      <c r="F720" s="8" t="s">
        <v>41</v>
      </c>
      <c r="G720" s="8" t="s">
        <v>189</v>
      </c>
      <c r="H720" s="8" t="s">
        <v>2</v>
      </c>
      <c r="I720" s="5" t="s">
        <v>557</v>
      </c>
      <c r="J720" s="40" t="s">
        <v>557</v>
      </c>
      <c r="K720" s="12">
        <f>SUM(K721)</f>
        <v>53772.000000000007</v>
      </c>
      <c r="L720" s="12">
        <f>SUM(L721)</f>
        <v>53772.000000000007</v>
      </c>
      <c r="M720" s="12">
        <f t="shared" si="88"/>
        <v>100</v>
      </c>
      <c r="N720" s="9"/>
    </row>
    <row r="721" spans="1:14" s="28" customFormat="1" ht="94.5" x14ac:dyDescent="0.2">
      <c r="A721" s="72"/>
      <c r="B721" s="41" t="s">
        <v>261</v>
      </c>
      <c r="C721" s="62">
        <v>925</v>
      </c>
      <c r="D721" s="61" t="s">
        <v>8</v>
      </c>
      <c r="E721" s="61" t="s">
        <v>4</v>
      </c>
      <c r="F721" s="8" t="s">
        <v>41</v>
      </c>
      <c r="G721" s="8" t="s">
        <v>189</v>
      </c>
      <c r="H721" s="8" t="s">
        <v>2</v>
      </c>
      <c r="I721" s="8" t="s">
        <v>206</v>
      </c>
      <c r="J721" s="40" t="s">
        <v>557</v>
      </c>
      <c r="K721" s="12">
        <f t="shared" ref="K721:L721" si="91">SUM(K722)</f>
        <v>53772.000000000007</v>
      </c>
      <c r="L721" s="12">
        <f t="shared" si="91"/>
        <v>53772.000000000007</v>
      </c>
      <c r="M721" s="12">
        <f t="shared" si="88"/>
        <v>100</v>
      </c>
      <c r="N721" s="9"/>
    </row>
    <row r="722" spans="1:14" s="28" customFormat="1" ht="35.25" customHeight="1" x14ac:dyDescent="0.2">
      <c r="A722" s="72"/>
      <c r="B722" s="19" t="s">
        <v>72</v>
      </c>
      <c r="C722" s="62">
        <v>925</v>
      </c>
      <c r="D722" s="61" t="s">
        <v>8</v>
      </c>
      <c r="E722" s="61" t="s">
        <v>4</v>
      </c>
      <c r="F722" s="8" t="s">
        <v>41</v>
      </c>
      <c r="G722" s="8" t="s">
        <v>189</v>
      </c>
      <c r="H722" s="8" t="s">
        <v>2</v>
      </c>
      <c r="I722" s="8" t="s">
        <v>206</v>
      </c>
      <c r="J722" s="61" t="s">
        <v>73</v>
      </c>
      <c r="K722" s="12">
        <f>25321.9+22482.3+2129.8-3217.9+190.9+46.3+3217.9+30.9+1551.5+86.8+1638.1+75.1+218.4</f>
        <v>53772.000000000007</v>
      </c>
      <c r="L722" s="12">
        <f>25321.9+22482.3+2129.8-3217.9+190.9+46.3+3217.9+30.9+1551.5+86.8+1638.1+75.1+218.4</f>
        <v>53772.000000000007</v>
      </c>
      <c r="M722" s="12">
        <f t="shared" si="88"/>
        <v>100</v>
      </c>
      <c r="N722" s="9"/>
    </row>
    <row r="723" spans="1:14" s="28" customFormat="1" ht="47.25" x14ac:dyDescent="0.2">
      <c r="A723" s="72"/>
      <c r="B723" s="19" t="s">
        <v>80</v>
      </c>
      <c r="C723" s="62">
        <v>925</v>
      </c>
      <c r="D723" s="61" t="s">
        <v>8</v>
      </c>
      <c r="E723" s="61" t="s">
        <v>4</v>
      </c>
      <c r="F723" s="8" t="s">
        <v>131</v>
      </c>
      <c r="G723" s="40" t="s">
        <v>557</v>
      </c>
      <c r="H723" s="5" t="s">
        <v>557</v>
      </c>
      <c r="I723" s="5" t="s">
        <v>557</v>
      </c>
      <c r="J723" s="40" t="s">
        <v>557</v>
      </c>
      <c r="K723" s="12">
        <f t="shared" ref="K723:L725" si="92">K724</f>
        <v>166.5</v>
      </c>
      <c r="L723" s="12">
        <f t="shared" si="92"/>
        <v>166.5</v>
      </c>
      <c r="M723" s="12">
        <f t="shared" si="88"/>
        <v>100</v>
      </c>
      <c r="N723" s="9"/>
    </row>
    <row r="724" spans="1:14" s="28" customFormat="1" ht="18.75" customHeight="1" x14ac:dyDescent="0.2">
      <c r="A724" s="72"/>
      <c r="B724" s="19" t="s">
        <v>63</v>
      </c>
      <c r="C724" s="62">
        <v>925</v>
      </c>
      <c r="D724" s="61" t="s">
        <v>8</v>
      </c>
      <c r="E724" s="61" t="s">
        <v>4</v>
      </c>
      <c r="F724" s="8" t="s">
        <v>131</v>
      </c>
      <c r="G724" s="63">
        <v>2</v>
      </c>
      <c r="H724" s="5" t="s">
        <v>557</v>
      </c>
      <c r="I724" s="5" t="s">
        <v>557</v>
      </c>
      <c r="J724" s="40" t="s">
        <v>557</v>
      </c>
      <c r="K724" s="12">
        <f t="shared" si="92"/>
        <v>166.5</v>
      </c>
      <c r="L724" s="12">
        <f t="shared" si="92"/>
        <v>166.5</v>
      </c>
      <c r="M724" s="12">
        <f t="shared" si="88"/>
        <v>100</v>
      </c>
      <c r="N724" s="9"/>
    </row>
    <row r="725" spans="1:14" s="28" customFormat="1" ht="33.75" customHeight="1" x14ac:dyDescent="0.2">
      <c r="A725" s="72"/>
      <c r="B725" s="19" t="s">
        <v>79</v>
      </c>
      <c r="C725" s="62">
        <v>925</v>
      </c>
      <c r="D725" s="61" t="s">
        <v>8</v>
      </c>
      <c r="E725" s="61" t="s">
        <v>4</v>
      </c>
      <c r="F725" s="8" t="s">
        <v>131</v>
      </c>
      <c r="G725" s="63">
        <v>2</v>
      </c>
      <c r="H725" s="8" t="s">
        <v>97</v>
      </c>
      <c r="I725" s="8" t="s">
        <v>133</v>
      </c>
      <c r="J725" s="40" t="s">
        <v>557</v>
      </c>
      <c r="K725" s="12">
        <f t="shared" si="92"/>
        <v>166.5</v>
      </c>
      <c r="L725" s="12">
        <f t="shared" si="92"/>
        <v>166.5</v>
      </c>
      <c r="M725" s="12">
        <f t="shared" si="88"/>
        <v>100</v>
      </c>
      <c r="N725" s="9"/>
    </row>
    <row r="726" spans="1:14" s="28" customFormat="1" ht="31.5" customHeight="1" x14ac:dyDescent="0.2">
      <c r="A726" s="72"/>
      <c r="B726" s="19" t="s">
        <v>72</v>
      </c>
      <c r="C726" s="62">
        <v>925</v>
      </c>
      <c r="D726" s="61" t="s">
        <v>8</v>
      </c>
      <c r="E726" s="61" t="s">
        <v>4</v>
      </c>
      <c r="F726" s="8" t="s">
        <v>131</v>
      </c>
      <c r="G726" s="63">
        <v>2</v>
      </c>
      <c r="H726" s="8" t="s">
        <v>97</v>
      </c>
      <c r="I726" s="8" t="s">
        <v>133</v>
      </c>
      <c r="J726" s="61" t="s">
        <v>73</v>
      </c>
      <c r="K726" s="12">
        <v>166.5</v>
      </c>
      <c r="L726" s="12">
        <v>166.5</v>
      </c>
      <c r="M726" s="12">
        <f t="shared" si="88"/>
        <v>100</v>
      </c>
      <c r="N726" s="9"/>
    </row>
    <row r="727" spans="1:14" s="28" customFormat="1" x14ac:dyDescent="0.2">
      <c r="A727" s="72"/>
      <c r="B727" s="19" t="s">
        <v>199</v>
      </c>
      <c r="C727" s="62">
        <v>925</v>
      </c>
      <c r="D727" s="61" t="s">
        <v>8</v>
      </c>
      <c r="E727" s="61" t="s">
        <v>5</v>
      </c>
      <c r="F727" s="5" t="s">
        <v>557</v>
      </c>
      <c r="G727" s="40" t="s">
        <v>557</v>
      </c>
      <c r="H727" s="5" t="s">
        <v>557</v>
      </c>
      <c r="I727" s="5" t="s">
        <v>557</v>
      </c>
      <c r="J727" s="40" t="s">
        <v>557</v>
      </c>
      <c r="K727" s="12">
        <f>SUM(K728+K743+K750)</f>
        <v>117014.49999999999</v>
      </c>
      <c r="L727" s="12">
        <f>SUM(L728+L743+L750)</f>
        <v>114813.9</v>
      </c>
      <c r="M727" s="12">
        <f t="shared" si="88"/>
        <v>98.119378367638205</v>
      </c>
      <c r="N727" s="9"/>
    </row>
    <row r="728" spans="1:14" s="28" customFormat="1" ht="33" customHeight="1" x14ac:dyDescent="0.2">
      <c r="A728" s="72"/>
      <c r="B728" s="19" t="s">
        <v>198</v>
      </c>
      <c r="C728" s="62">
        <v>925</v>
      </c>
      <c r="D728" s="61" t="s">
        <v>8</v>
      </c>
      <c r="E728" s="61" t="s">
        <v>5</v>
      </c>
      <c r="F728" s="61" t="s">
        <v>2</v>
      </c>
      <c r="G728" s="40" t="s">
        <v>557</v>
      </c>
      <c r="H728" s="5" t="s">
        <v>557</v>
      </c>
      <c r="I728" s="5" t="s">
        <v>557</v>
      </c>
      <c r="J728" s="40" t="s">
        <v>557</v>
      </c>
      <c r="K728" s="12">
        <f t="shared" ref="K728:L739" si="93">SUM(K729)</f>
        <v>102784.49999999999</v>
      </c>
      <c r="L728" s="12">
        <f t="shared" si="93"/>
        <v>100583.9</v>
      </c>
      <c r="M728" s="12">
        <f t="shared" si="88"/>
        <v>97.859015707621282</v>
      </c>
      <c r="N728" s="9"/>
    </row>
    <row r="729" spans="1:14" s="28" customFormat="1" ht="33.6" customHeight="1" x14ac:dyDescent="0.2">
      <c r="A729" s="72"/>
      <c r="B729" s="41" t="s">
        <v>259</v>
      </c>
      <c r="C729" s="62">
        <v>925</v>
      </c>
      <c r="D729" s="61" t="s">
        <v>8</v>
      </c>
      <c r="E729" s="61" t="s">
        <v>5</v>
      </c>
      <c r="F729" s="61" t="s">
        <v>2</v>
      </c>
      <c r="G729" s="62">
        <v>1</v>
      </c>
      <c r="H729" s="5" t="s">
        <v>557</v>
      </c>
      <c r="I729" s="5" t="s">
        <v>557</v>
      </c>
      <c r="J729" s="40" t="s">
        <v>557</v>
      </c>
      <c r="K729" s="12">
        <f>SUM(K730+K738+K735)</f>
        <v>102784.49999999999</v>
      </c>
      <c r="L729" s="12">
        <f>SUM(L730+L738+L735)</f>
        <v>100583.9</v>
      </c>
      <c r="M729" s="12">
        <f t="shared" si="88"/>
        <v>97.859015707621282</v>
      </c>
      <c r="N729" s="9"/>
    </row>
    <row r="730" spans="1:14" s="28" customFormat="1" ht="81" customHeight="1" x14ac:dyDescent="0.2">
      <c r="A730" s="72"/>
      <c r="B730" s="41" t="s">
        <v>148</v>
      </c>
      <c r="C730" s="62">
        <v>925</v>
      </c>
      <c r="D730" s="61" t="s">
        <v>8</v>
      </c>
      <c r="E730" s="61" t="s">
        <v>5</v>
      </c>
      <c r="F730" s="8" t="s">
        <v>2</v>
      </c>
      <c r="G730" s="8" t="s">
        <v>116</v>
      </c>
      <c r="H730" s="8" t="s">
        <v>2</v>
      </c>
      <c r="I730" s="5" t="s">
        <v>557</v>
      </c>
      <c r="J730" s="40" t="s">
        <v>557</v>
      </c>
      <c r="K730" s="12">
        <f>SUM(K733+K731)</f>
        <v>2942.4</v>
      </c>
      <c r="L730" s="12">
        <f>SUM(L733+L731)</f>
        <v>2942.4</v>
      </c>
      <c r="M730" s="12">
        <f t="shared" si="88"/>
        <v>100</v>
      </c>
      <c r="N730" s="9"/>
    </row>
    <row r="731" spans="1:14" s="28" customFormat="1" ht="47.25" x14ac:dyDescent="0.2">
      <c r="A731" s="72"/>
      <c r="B731" s="41" t="s">
        <v>466</v>
      </c>
      <c r="C731" s="62">
        <v>925</v>
      </c>
      <c r="D731" s="61" t="s">
        <v>8</v>
      </c>
      <c r="E731" s="61" t="s">
        <v>5</v>
      </c>
      <c r="F731" s="8" t="s">
        <v>2</v>
      </c>
      <c r="G731" s="8" t="s">
        <v>116</v>
      </c>
      <c r="H731" s="8" t="s">
        <v>2</v>
      </c>
      <c r="I731" s="8" t="s">
        <v>467</v>
      </c>
      <c r="J731" s="40" t="s">
        <v>557</v>
      </c>
      <c r="K731" s="12">
        <f>K732</f>
        <v>2492.4</v>
      </c>
      <c r="L731" s="12">
        <f>L732</f>
        <v>2492.4</v>
      </c>
      <c r="M731" s="12">
        <f t="shared" si="88"/>
        <v>100</v>
      </c>
      <c r="N731" s="9"/>
    </row>
    <row r="732" spans="1:14" s="28" customFormat="1" ht="32.25" customHeight="1" x14ac:dyDescent="0.2">
      <c r="A732" s="72"/>
      <c r="B732" s="19" t="s">
        <v>72</v>
      </c>
      <c r="C732" s="62">
        <v>925</v>
      </c>
      <c r="D732" s="61" t="s">
        <v>8</v>
      </c>
      <c r="E732" s="61" t="s">
        <v>5</v>
      </c>
      <c r="F732" s="8" t="s">
        <v>2</v>
      </c>
      <c r="G732" s="8" t="s">
        <v>116</v>
      </c>
      <c r="H732" s="8" t="s">
        <v>2</v>
      </c>
      <c r="I732" s="8" t="s">
        <v>467</v>
      </c>
      <c r="J732" s="61" t="s">
        <v>73</v>
      </c>
      <c r="K732" s="12">
        <f>1000+1492.4</f>
        <v>2492.4</v>
      </c>
      <c r="L732" s="12">
        <f>1000+1492.4</f>
        <v>2492.4</v>
      </c>
      <c r="M732" s="12">
        <f t="shared" si="88"/>
        <v>100</v>
      </c>
      <c r="N732" s="9"/>
    </row>
    <row r="733" spans="1:14" s="28" customFormat="1" ht="47.25" x14ac:dyDescent="0.2">
      <c r="A733" s="72"/>
      <c r="B733" s="41" t="s">
        <v>475</v>
      </c>
      <c r="C733" s="62">
        <v>925</v>
      </c>
      <c r="D733" s="61" t="s">
        <v>8</v>
      </c>
      <c r="E733" s="61" t="s">
        <v>5</v>
      </c>
      <c r="F733" s="61" t="s">
        <v>2</v>
      </c>
      <c r="G733" s="62">
        <v>1</v>
      </c>
      <c r="H733" s="61" t="s">
        <v>2</v>
      </c>
      <c r="I733" s="61" t="s">
        <v>474</v>
      </c>
      <c r="J733" s="40" t="s">
        <v>557</v>
      </c>
      <c r="K733" s="12">
        <f>SUM(K734)</f>
        <v>450</v>
      </c>
      <c r="L733" s="12">
        <f>SUM(L734)</f>
        <v>450</v>
      </c>
      <c r="M733" s="12">
        <f t="shared" si="88"/>
        <v>100</v>
      </c>
      <c r="N733" s="9"/>
    </row>
    <row r="734" spans="1:14" s="28" customFormat="1" ht="31.5" customHeight="1" x14ac:dyDescent="0.2">
      <c r="A734" s="72"/>
      <c r="B734" s="19" t="s">
        <v>72</v>
      </c>
      <c r="C734" s="62">
        <v>925</v>
      </c>
      <c r="D734" s="61" t="s">
        <v>8</v>
      </c>
      <c r="E734" s="61" t="s">
        <v>5</v>
      </c>
      <c r="F734" s="61" t="s">
        <v>2</v>
      </c>
      <c r="G734" s="62">
        <v>1</v>
      </c>
      <c r="H734" s="61" t="s">
        <v>2</v>
      </c>
      <c r="I734" s="61" t="s">
        <v>474</v>
      </c>
      <c r="J734" s="61" t="s">
        <v>73</v>
      </c>
      <c r="K734" s="12">
        <v>450</v>
      </c>
      <c r="L734" s="12">
        <v>450</v>
      </c>
      <c r="M734" s="12">
        <f t="shared" si="88"/>
        <v>100</v>
      </c>
      <c r="N734" s="9"/>
    </row>
    <row r="735" spans="1:14" s="28" customFormat="1" ht="81" customHeight="1" x14ac:dyDescent="0.2">
      <c r="A735" s="72"/>
      <c r="B735" s="41" t="s">
        <v>142</v>
      </c>
      <c r="C735" s="62">
        <v>925</v>
      </c>
      <c r="D735" s="61" t="s">
        <v>8</v>
      </c>
      <c r="E735" s="61" t="s">
        <v>5</v>
      </c>
      <c r="F735" s="61" t="s">
        <v>2</v>
      </c>
      <c r="G735" s="62">
        <v>1</v>
      </c>
      <c r="H735" s="61" t="s">
        <v>6</v>
      </c>
      <c r="I735" s="5" t="s">
        <v>557</v>
      </c>
      <c r="J735" s="40" t="s">
        <v>557</v>
      </c>
      <c r="K735" s="12">
        <f>SUM(K736)</f>
        <v>45.400000000000006</v>
      </c>
      <c r="L735" s="12">
        <f>SUM(L736)</f>
        <v>45.400000000000006</v>
      </c>
      <c r="M735" s="12">
        <f t="shared" si="88"/>
        <v>100</v>
      </c>
      <c r="N735" s="9"/>
    </row>
    <row r="736" spans="1:14" s="28" customFormat="1" ht="144" customHeight="1" x14ac:dyDescent="0.2">
      <c r="A736" s="72"/>
      <c r="B736" s="43" t="s">
        <v>321</v>
      </c>
      <c r="C736" s="62">
        <v>925</v>
      </c>
      <c r="D736" s="61" t="s">
        <v>8</v>
      </c>
      <c r="E736" s="61" t="s">
        <v>5</v>
      </c>
      <c r="F736" s="61" t="s">
        <v>2</v>
      </c>
      <c r="G736" s="62">
        <v>1</v>
      </c>
      <c r="H736" s="61" t="s">
        <v>6</v>
      </c>
      <c r="I736" s="61" t="s">
        <v>143</v>
      </c>
      <c r="J736" s="40" t="s">
        <v>557</v>
      </c>
      <c r="K736" s="12">
        <f>SUM(K737:K737)</f>
        <v>45.400000000000006</v>
      </c>
      <c r="L736" s="12">
        <f>SUM(L737:L737)</f>
        <v>45.400000000000006</v>
      </c>
      <c r="M736" s="12">
        <f t="shared" si="88"/>
        <v>100</v>
      </c>
      <c r="N736" s="9"/>
    </row>
    <row r="737" spans="1:14" s="28" customFormat="1" ht="33" customHeight="1" x14ac:dyDescent="0.2">
      <c r="A737" s="72"/>
      <c r="B737" s="44" t="s">
        <v>162</v>
      </c>
      <c r="C737" s="62">
        <v>925</v>
      </c>
      <c r="D737" s="61" t="s">
        <v>8</v>
      </c>
      <c r="E737" s="61" t="s">
        <v>5</v>
      </c>
      <c r="F737" s="61" t="s">
        <v>2</v>
      </c>
      <c r="G737" s="62">
        <v>1</v>
      </c>
      <c r="H737" s="61" t="s">
        <v>6</v>
      </c>
      <c r="I737" s="61" t="s">
        <v>143</v>
      </c>
      <c r="J737" s="61" t="s">
        <v>73</v>
      </c>
      <c r="K737" s="12">
        <f>32.2-1.3-0.3+14.8</f>
        <v>45.400000000000006</v>
      </c>
      <c r="L737" s="12">
        <f>32.2-1.3-0.3+14.8</f>
        <v>45.400000000000006</v>
      </c>
      <c r="M737" s="12">
        <f t="shared" si="88"/>
        <v>100</v>
      </c>
      <c r="N737" s="9"/>
    </row>
    <row r="738" spans="1:14" s="28" customFormat="1" ht="78.75" x14ac:dyDescent="0.2">
      <c r="A738" s="72"/>
      <c r="B738" s="41" t="s">
        <v>144</v>
      </c>
      <c r="C738" s="62">
        <v>925</v>
      </c>
      <c r="D738" s="61" t="s">
        <v>8</v>
      </c>
      <c r="E738" s="61" t="s">
        <v>5</v>
      </c>
      <c r="F738" s="61" t="s">
        <v>2</v>
      </c>
      <c r="G738" s="62">
        <v>1</v>
      </c>
      <c r="H738" s="61" t="s">
        <v>7</v>
      </c>
      <c r="I738" s="61" t="s">
        <v>98</v>
      </c>
      <c r="J738" s="40" t="s">
        <v>557</v>
      </c>
      <c r="K738" s="12">
        <f>SUM(K739+K741)</f>
        <v>99796.7</v>
      </c>
      <c r="L738" s="12">
        <f>SUM(L739+L741)</f>
        <v>97596.1</v>
      </c>
      <c r="M738" s="12">
        <f t="shared" si="88"/>
        <v>97.794917066395996</v>
      </c>
      <c r="N738" s="9"/>
    </row>
    <row r="739" spans="1:14" s="28" customFormat="1" ht="63" x14ac:dyDescent="0.2">
      <c r="A739" s="72"/>
      <c r="B739" s="41" t="s">
        <v>147</v>
      </c>
      <c r="C739" s="62">
        <v>925</v>
      </c>
      <c r="D739" s="61" t="s">
        <v>8</v>
      </c>
      <c r="E739" s="61" t="s">
        <v>5</v>
      </c>
      <c r="F739" s="61" t="s">
        <v>2</v>
      </c>
      <c r="G739" s="62">
        <v>1</v>
      </c>
      <c r="H739" s="61" t="s">
        <v>7</v>
      </c>
      <c r="I739" s="61" t="s">
        <v>111</v>
      </c>
      <c r="J739" s="40" t="s">
        <v>557</v>
      </c>
      <c r="K739" s="12">
        <f t="shared" si="93"/>
        <v>85935.5</v>
      </c>
      <c r="L739" s="12">
        <f t="shared" si="93"/>
        <v>85935.5</v>
      </c>
      <c r="M739" s="12">
        <f t="shared" si="88"/>
        <v>100</v>
      </c>
      <c r="N739" s="9"/>
    </row>
    <row r="740" spans="1:14" s="28" customFormat="1" ht="33.75" customHeight="1" x14ac:dyDescent="0.2">
      <c r="A740" s="72"/>
      <c r="B740" s="44" t="s">
        <v>72</v>
      </c>
      <c r="C740" s="62">
        <v>925</v>
      </c>
      <c r="D740" s="61" t="s">
        <v>8</v>
      </c>
      <c r="E740" s="61" t="s">
        <v>5</v>
      </c>
      <c r="F740" s="61" t="s">
        <v>2</v>
      </c>
      <c r="G740" s="62">
        <v>1</v>
      </c>
      <c r="H740" s="61" t="s">
        <v>7</v>
      </c>
      <c r="I740" s="61" t="s">
        <v>111</v>
      </c>
      <c r="J740" s="61" t="s">
        <v>73</v>
      </c>
      <c r="K740" s="12">
        <v>85935.5</v>
      </c>
      <c r="L740" s="12">
        <v>85935.5</v>
      </c>
      <c r="M740" s="12">
        <f t="shared" si="88"/>
        <v>100</v>
      </c>
      <c r="N740" s="9"/>
    </row>
    <row r="741" spans="1:14" s="28" customFormat="1" ht="47.25" x14ac:dyDescent="0.2">
      <c r="A741" s="72"/>
      <c r="B741" s="44" t="s">
        <v>386</v>
      </c>
      <c r="C741" s="62">
        <v>925</v>
      </c>
      <c r="D741" s="61" t="s">
        <v>8</v>
      </c>
      <c r="E741" s="61" t="s">
        <v>5</v>
      </c>
      <c r="F741" s="61" t="s">
        <v>2</v>
      </c>
      <c r="G741" s="62">
        <v>1</v>
      </c>
      <c r="H741" s="61" t="s">
        <v>7</v>
      </c>
      <c r="I741" s="61" t="s">
        <v>385</v>
      </c>
      <c r="J741" s="40" t="s">
        <v>557</v>
      </c>
      <c r="K741" s="12">
        <f>K742</f>
        <v>13861.199999999997</v>
      </c>
      <c r="L741" s="12">
        <f>L742</f>
        <v>11660.6</v>
      </c>
      <c r="M741" s="12">
        <f t="shared" si="88"/>
        <v>84.124029665541244</v>
      </c>
      <c r="N741" s="9"/>
    </row>
    <row r="742" spans="1:14" s="28" customFormat="1" ht="33" customHeight="1" x14ac:dyDescent="0.2">
      <c r="A742" s="72"/>
      <c r="B742" s="44" t="s">
        <v>72</v>
      </c>
      <c r="C742" s="62">
        <v>925</v>
      </c>
      <c r="D742" s="61" t="s">
        <v>8</v>
      </c>
      <c r="E742" s="61" t="s">
        <v>5</v>
      </c>
      <c r="F742" s="61" t="s">
        <v>2</v>
      </c>
      <c r="G742" s="62">
        <v>1</v>
      </c>
      <c r="H742" s="61" t="s">
        <v>7</v>
      </c>
      <c r="I742" s="61" t="s">
        <v>385</v>
      </c>
      <c r="J742" s="61" t="s">
        <v>73</v>
      </c>
      <c r="K742" s="12">
        <f>26218.6+30856+2200.6-45414</f>
        <v>13861.199999999997</v>
      </c>
      <c r="L742" s="12">
        <v>11660.6</v>
      </c>
      <c r="M742" s="12">
        <f t="shared" si="88"/>
        <v>84.124029665541244</v>
      </c>
      <c r="N742" s="9"/>
    </row>
    <row r="743" spans="1:14" s="28" customFormat="1" ht="31.5" x14ac:dyDescent="0.2">
      <c r="A743" s="72"/>
      <c r="B743" s="41" t="s">
        <v>314</v>
      </c>
      <c r="C743" s="62">
        <v>925</v>
      </c>
      <c r="D743" s="61" t="s">
        <v>8</v>
      </c>
      <c r="E743" s="61" t="s">
        <v>5</v>
      </c>
      <c r="F743" s="8" t="s">
        <v>4</v>
      </c>
      <c r="G743" s="40" t="s">
        <v>557</v>
      </c>
      <c r="H743" s="5" t="s">
        <v>557</v>
      </c>
      <c r="I743" s="5" t="s">
        <v>557</v>
      </c>
      <c r="J743" s="40" t="s">
        <v>557</v>
      </c>
      <c r="K743" s="12">
        <f>K744</f>
        <v>2642.9</v>
      </c>
      <c r="L743" s="12">
        <f>L744</f>
        <v>2642.9</v>
      </c>
      <c r="M743" s="12">
        <f t="shared" si="88"/>
        <v>100</v>
      </c>
      <c r="N743" s="9"/>
    </row>
    <row r="744" spans="1:14" s="28" customFormat="1" ht="31.5" x14ac:dyDescent="0.2">
      <c r="A744" s="72"/>
      <c r="B744" s="41" t="s">
        <v>136</v>
      </c>
      <c r="C744" s="62">
        <v>925</v>
      </c>
      <c r="D744" s="61" t="s">
        <v>8</v>
      </c>
      <c r="E744" s="61" t="s">
        <v>5</v>
      </c>
      <c r="F744" s="8" t="s">
        <v>4</v>
      </c>
      <c r="G744" s="8" t="s">
        <v>116</v>
      </c>
      <c r="H744" s="5" t="s">
        <v>557</v>
      </c>
      <c r="I744" s="5" t="s">
        <v>557</v>
      </c>
      <c r="J744" s="40" t="s">
        <v>557</v>
      </c>
      <c r="K744" s="12">
        <f>K745</f>
        <v>2642.9</v>
      </c>
      <c r="L744" s="12">
        <f>L745</f>
        <v>2642.9</v>
      </c>
      <c r="M744" s="12">
        <f t="shared" ref="M744:M804" si="94">SUM(L744/K744*100)</f>
        <v>100</v>
      </c>
      <c r="N744" s="9"/>
    </row>
    <row r="745" spans="1:14" s="28" customFormat="1" ht="78.75" x14ac:dyDescent="0.2">
      <c r="A745" s="72"/>
      <c r="B745" s="41" t="s">
        <v>137</v>
      </c>
      <c r="C745" s="62">
        <v>925</v>
      </c>
      <c r="D745" s="61" t="s">
        <v>8</v>
      </c>
      <c r="E745" s="61" t="s">
        <v>5</v>
      </c>
      <c r="F745" s="8" t="s">
        <v>4</v>
      </c>
      <c r="G745" s="8" t="s">
        <v>116</v>
      </c>
      <c r="H745" s="8" t="s">
        <v>2</v>
      </c>
      <c r="I745" s="5" t="s">
        <v>557</v>
      </c>
      <c r="J745" s="40" t="s">
        <v>557</v>
      </c>
      <c r="K745" s="12">
        <f>K746+K748</f>
        <v>2642.9</v>
      </c>
      <c r="L745" s="12">
        <f>L746+L748</f>
        <v>2642.9</v>
      </c>
      <c r="M745" s="12">
        <f t="shared" si="94"/>
        <v>100</v>
      </c>
      <c r="N745" s="9"/>
    </row>
    <row r="746" spans="1:14" s="28" customFormat="1" ht="47.25" x14ac:dyDescent="0.2">
      <c r="A746" s="72"/>
      <c r="B746" s="41" t="s">
        <v>351</v>
      </c>
      <c r="C746" s="62">
        <v>925</v>
      </c>
      <c r="D746" s="61" t="s">
        <v>8</v>
      </c>
      <c r="E746" s="61" t="s">
        <v>5</v>
      </c>
      <c r="F746" s="8" t="s">
        <v>4</v>
      </c>
      <c r="G746" s="8" t="s">
        <v>116</v>
      </c>
      <c r="H746" s="8" t="s">
        <v>2</v>
      </c>
      <c r="I746" s="8" t="s">
        <v>313</v>
      </c>
      <c r="J746" s="40" t="s">
        <v>557</v>
      </c>
      <c r="K746" s="12">
        <f>K747</f>
        <v>292.89999999999998</v>
      </c>
      <c r="L746" s="12">
        <f>L747</f>
        <v>292.89999999999998</v>
      </c>
      <c r="M746" s="12">
        <f t="shared" si="94"/>
        <v>100</v>
      </c>
      <c r="N746" s="9"/>
    </row>
    <row r="747" spans="1:14" s="28" customFormat="1" ht="35.25" customHeight="1" x14ac:dyDescent="0.2">
      <c r="A747" s="72"/>
      <c r="B747" s="19" t="s">
        <v>315</v>
      </c>
      <c r="C747" s="62">
        <v>925</v>
      </c>
      <c r="D747" s="61" t="s">
        <v>8</v>
      </c>
      <c r="E747" s="61" t="s">
        <v>5</v>
      </c>
      <c r="F747" s="8" t="s">
        <v>4</v>
      </c>
      <c r="G747" s="8" t="s">
        <v>116</v>
      </c>
      <c r="H747" s="8" t="s">
        <v>2</v>
      </c>
      <c r="I747" s="8" t="s">
        <v>313</v>
      </c>
      <c r="J747" s="61" t="s">
        <v>73</v>
      </c>
      <c r="K747" s="12">
        <f>451.2-158.3</f>
        <v>292.89999999999998</v>
      </c>
      <c r="L747" s="12">
        <f>451.2-158.3</f>
        <v>292.89999999999998</v>
      </c>
      <c r="M747" s="12">
        <f t="shared" si="94"/>
        <v>100</v>
      </c>
      <c r="N747" s="9"/>
    </row>
    <row r="748" spans="1:14" s="28" customFormat="1" ht="47.25" x14ac:dyDescent="0.2">
      <c r="A748" s="72"/>
      <c r="B748" s="41" t="s">
        <v>475</v>
      </c>
      <c r="C748" s="62">
        <v>925</v>
      </c>
      <c r="D748" s="61" t="s">
        <v>8</v>
      </c>
      <c r="E748" s="61" t="s">
        <v>5</v>
      </c>
      <c r="F748" s="8" t="s">
        <v>4</v>
      </c>
      <c r="G748" s="8" t="s">
        <v>116</v>
      </c>
      <c r="H748" s="8" t="s">
        <v>2</v>
      </c>
      <c r="I748" s="8" t="s">
        <v>474</v>
      </c>
      <c r="J748" s="40" t="s">
        <v>557</v>
      </c>
      <c r="K748" s="12">
        <f>K749</f>
        <v>2350</v>
      </c>
      <c r="L748" s="12">
        <f>L749</f>
        <v>2350</v>
      </c>
      <c r="M748" s="12">
        <f t="shared" si="94"/>
        <v>100</v>
      </c>
      <c r="N748" s="9"/>
    </row>
    <row r="749" spans="1:14" s="28" customFormat="1" ht="33.75" customHeight="1" x14ac:dyDescent="0.2">
      <c r="A749" s="72"/>
      <c r="B749" s="19" t="s">
        <v>72</v>
      </c>
      <c r="C749" s="62">
        <v>925</v>
      </c>
      <c r="D749" s="61" t="s">
        <v>8</v>
      </c>
      <c r="E749" s="61" t="s">
        <v>5</v>
      </c>
      <c r="F749" s="8" t="s">
        <v>4</v>
      </c>
      <c r="G749" s="8" t="s">
        <v>116</v>
      </c>
      <c r="H749" s="8" t="s">
        <v>2</v>
      </c>
      <c r="I749" s="8" t="s">
        <v>474</v>
      </c>
      <c r="J749" s="61" t="s">
        <v>73</v>
      </c>
      <c r="K749" s="12">
        <v>2350</v>
      </c>
      <c r="L749" s="12">
        <v>2350</v>
      </c>
      <c r="M749" s="12">
        <f t="shared" si="94"/>
        <v>100</v>
      </c>
      <c r="N749" s="9"/>
    </row>
    <row r="750" spans="1:14" s="28" customFormat="1" ht="47.25" x14ac:dyDescent="0.2">
      <c r="A750" s="72"/>
      <c r="B750" s="44" t="s">
        <v>196</v>
      </c>
      <c r="C750" s="62">
        <v>925</v>
      </c>
      <c r="D750" s="61" t="s">
        <v>8</v>
      </c>
      <c r="E750" s="61" t="s">
        <v>5</v>
      </c>
      <c r="F750" s="61" t="s">
        <v>41</v>
      </c>
      <c r="G750" s="40" t="s">
        <v>557</v>
      </c>
      <c r="H750" s="5" t="s">
        <v>557</v>
      </c>
      <c r="I750" s="5" t="s">
        <v>557</v>
      </c>
      <c r="J750" s="40" t="s">
        <v>557</v>
      </c>
      <c r="K750" s="12">
        <f>K751+K755</f>
        <v>11587.1</v>
      </c>
      <c r="L750" s="12">
        <f>L751+L755</f>
        <v>11587.1</v>
      </c>
      <c r="M750" s="12">
        <f t="shared" si="94"/>
        <v>100</v>
      </c>
      <c r="N750" s="9"/>
    </row>
    <row r="751" spans="1:14" s="28" customFormat="1" ht="31.5" x14ac:dyDescent="0.2">
      <c r="A751" s="72"/>
      <c r="B751" s="41" t="s">
        <v>253</v>
      </c>
      <c r="C751" s="62">
        <v>925</v>
      </c>
      <c r="D751" s="61" t="s">
        <v>8</v>
      </c>
      <c r="E751" s="61" t="s">
        <v>5</v>
      </c>
      <c r="F751" s="61" t="s">
        <v>41</v>
      </c>
      <c r="G751" s="62">
        <v>2</v>
      </c>
      <c r="H751" s="5" t="s">
        <v>557</v>
      </c>
      <c r="I751" s="5" t="s">
        <v>557</v>
      </c>
      <c r="J751" s="40" t="s">
        <v>557</v>
      </c>
      <c r="K751" s="12">
        <f t="shared" ref="K751:L753" si="95">K752</f>
        <v>1419.1</v>
      </c>
      <c r="L751" s="12">
        <f t="shared" si="95"/>
        <v>1419.1</v>
      </c>
      <c r="M751" s="12">
        <f t="shared" si="94"/>
        <v>100</v>
      </c>
      <c r="N751" s="9"/>
    </row>
    <row r="752" spans="1:14" s="28" customFormat="1" ht="31.5" x14ac:dyDescent="0.2">
      <c r="A752" s="72"/>
      <c r="B752" s="41" t="s">
        <v>317</v>
      </c>
      <c r="C752" s="62">
        <v>925</v>
      </c>
      <c r="D752" s="61" t="s">
        <v>8</v>
      </c>
      <c r="E752" s="61" t="s">
        <v>5</v>
      </c>
      <c r="F752" s="61" t="s">
        <v>41</v>
      </c>
      <c r="G752" s="62">
        <v>2</v>
      </c>
      <c r="H752" s="61" t="s">
        <v>4</v>
      </c>
      <c r="I752" s="5" t="s">
        <v>557</v>
      </c>
      <c r="J752" s="40" t="s">
        <v>557</v>
      </c>
      <c r="K752" s="12">
        <f t="shared" si="95"/>
        <v>1419.1</v>
      </c>
      <c r="L752" s="12">
        <f t="shared" si="95"/>
        <v>1419.1</v>
      </c>
      <c r="M752" s="12">
        <f t="shared" si="94"/>
        <v>100</v>
      </c>
      <c r="N752" s="9"/>
    </row>
    <row r="753" spans="1:14" s="28" customFormat="1" ht="78.75" x14ac:dyDescent="0.2">
      <c r="A753" s="72"/>
      <c r="B753" s="41" t="s">
        <v>352</v>
      </c>
      <c r="C753" s="62">
        <v>925</v>
      </c>
      <c r="D753" s="61" t="s">
        <v>8</v>
      </c>
      <c r="E753" s="61" t="s">
        <v>5</v>
      </c>
      <c r="F753" s="61" t="s">
        <v>41</v>
      </c>
      <c r="G753" s="62">
        <v>2</v>
      </c>
      <c r="H753" s="61" t="s">
        <v>4</v>
      </c>
      <c r="I753" s="61" t="s">
        <v>316</v>
      </c>
      <c r="J753" s="40" t="s">
        <v>557</v>
      </c>
      <c r="K753" s="12">
        <f t="shared" si="95"/>
        <v>1419.1</v>
      </c>
      <c r="L753" s="12">
        <f t="shared" si="95"/>
        <v>1419.1</v>
      </c>
      <c r="M753" s="12">
        <f t="shared" si="94"/>
        <v>100</v>
      </c>
      <c r="N753" s="9"/>
    </row>
    <row r="754" spans="1:14" s="28" customFormat="1" ht="33.75" customHeight="1" x14ac:dyDescent="0.2">
      <c r="A754" s="72"/>
      <c r="B754" s="19" t="s">
        <v>72</v>
      </c>
      <c r="C754" s="62">
        <v>925</v>
      </c>
      <c r="D754" s="61" t="s">
        <v>8</v>
      </c>
      <c r="E754" s="61" t="s">
        <v>5</v>
      </c>
      <c r="F754" s="61" t="s">
        <v>41</v>
      </c>
      <c r="G754" s="62">
        <v>2</v>
      </c>
      <c r="H754" s="61" t="s">
        <v>4</v>
      </c>
      <c r="I754" s="61" t="s">
        <v>316</v>
      </c>
      <c r="J754" s="61" t="s">
        <v>73</v>
      </c>
      <c r="K754" s="12">
        <f>114.6-114.6+10.5+159.5+720.5+528.6</f>
        <v>1419.1</v>
      </c>
      <c r="L754" s="12">
        <f>114.6-114.6+10.5+159.5+720.5+528.6</f>
        <v>1419.1</v>
      </c>
      <c r="M754" s="12">
        <f t="shared" si="94"/>
        <v>100</v>
      </c>
      <c r="N754" s="9"/>
    </row>
    <row r="755" spans="1:14" s="28" customFormat="1" ht="47.25" x14ac:dyDescent="0.2">
      <c r="A755" s="72"/>
      <c r="B755" s="44" t="s">
        <v>197</v>
      </c>
      <c r="C755" s="62">
        <v>925</v>
      </c>
      <c r="D755" s="61" t="s">
        <v>8</v>
      </c>
      <c r="E755" s="61" t="s">
        <v>5</v>
      </c>
      <c r="F755" s="61" t="s">
        <v>41</v>
      </c>
      <c r="G755" s="62">
        <v>5</v>
      </c>
      <c r="H755" s="5" t="s">
        <v>557</v>
      </c>
      <c r="I755" s="5" t="s">
        <v>557</v>
      </c>
      <c r="J755" s="40" t="s">
        <v>557</v>
      </c>
      <c r="K755" s="12">
        <f t="shared" ref="K755:L757" si="96">K756</f>
        <v>10168</v>
      </c>
      <c r="L755" s="12">
        <f t="shared" si="96"/>
        <v>10168</v>
      </c>
      <c r="M755" s="12">
        <f t="shared" si="94"/>
        <v>100</v>
      </c>
      <c r="N755" s="9"/>
    </row>
    <row r="756" spans="1:14" s="28" customFormat="1" ht="47.25" x14ac:dyDescent="0.2">
      <c r="A756" s="72"/>
      <c r="B756" s="44" t="s">
        <v>188</v>
      </c>
      <c r="C756" s="62">
        <v>925</v>
      </c>
      <c r="D756" s="61" t="s">
        <v>8</v>
      </c>
      <c r="E756" s="61" t="s">
        <v>5</v>
      </c>
      <c r="F756" s="61" t="s">
        <v>41</v>
      </c>
      <c r="G756" s="62">
        <v>5</v>
      </c>
      <c r="H756" s="61" t="s">
        <v>2</v>
      </c>
      <c r="I756" s="5" t="s">
        <v>557</v>
      </c>
      <c r="J756" s="40" t="s">
        <v>557</v>
      </c>
      <c r="K756" s="12">
        <f t="shared" si="96"/>
        <v>10168</v>
      </c>
      <c r="L756" s="12">
        <f t="shared" si="96"/>
        <v>10168</v>
      </c>
      <c r="M756" s="12">
        <f t="shared" si="94"/>
        <v>100</v>
      </c>
      <c r="N756" s="9"/>
    </row>
    <row r="757" spans="1:14" s="28" customFormat="1" ht="94.5" x14ac:dyDescent="0.2">
      <c r="A757" s="72"/>
      <c r="B757" s="44" t="s">
        <v>261</v>
      </c>
      <c r="C757" s="62">
        <v>925</v>
      </c>
      <c r="D757" s="61" t="s">
        <v>8</v>
      </c>
      <c r="E757" s="61" t="s">
        <v>5</v>
      </c>
      <c r="F757" s="61" t="s">
        <v>41</v>
      </c>
      <c r="G757" s="62">
        <v>5</v>
      </c>
      <c r="H757" s="61" t="s">
        <v>2</v>
      </c>
      <c r="I757" s="61" t="s">
        <v>206</v>
      </c>
      <c r="J757" s="40" t="s">
        <v>557</v>
      </c>
      <c r="K757" s="12">
        <f t="shared" si="96"/>
        <v>10168</v>
      </c>
      <c r="L757" s="12">
        <f t="shared" si="96"/>
        <v>10168</v>
      </c>
      <c r="M757" s="12">
        <f t="shared" si="94"/>
        <v>100</v>
      </c>
      <c r="N757" s="9"/>
    </row>
    <row r="758" spans="1:14" s="28" customFormat="1" ht="35.25" customHeight="1" x14ac:dyDescent="0.2">
      <c r="A758" s="72"/>
      <c r="B758" s="44" t="s">
        <v>162</v>
      </c>
      <c r="C758" s="62">
        <v>925</v>
      </c>
      <c r="D758" s="61" t="s">
        <v>8</v>
      </c>
      <c r="E758" s="61" t="s">
        <v>5</v>
      </c>
      <c r="F758" s="61" t="s">
        <v>41</v>
      </c>
      <c r="G758" s="62">
        <v>5</v>
      </c>
      <c r="H758" s="61" t="s">
        <v>2</v>
      </c>
      <c r="I758" s="61" t="s">
        <v>206</v>
      </c>
      <c r="J758" s="61" t="s">
        <v>73</v>
      </c>
      <c r="K758" s="12">
        <v>10168</v>
      </c>
      <c r="L758" s="12">
        <v>10168</v>
      </c>
      <c r="M758" s="12">
        <f t="shared" si="94"/>
        <v>100</v>
      </c>
      <c r="N758" s="9"/>
    </row>
    <row r="759" spans="1:14" s="28" customFormat="1" ht="31.5" x14ac:dyDescent="0.2">
      <c r="A759" s="72"/>
      <c r="B759" s="19" t="s">
        <v>375</v>
      </c>
      <c r="C759" s="62">
        <v>925</v>
      </c>
      <c r="D759" s="61" t="s">
        <v>8</v>
      </c>
      <c r="E759" s="8" t="s">
        <v>7</v>
      </c>
      <c r="F759" s="5" t="s">
        <v>557</v>
      </c>
      <c r="G759" s="40" t="s">
        <v>557</v>
      </c>
      <c r="H759" s="5" t="s">
        <v>557</v>
      </c>
      <c r="I759" s="5" t="s">
        <v>557</v>
      </c>
      <c r="J759" s="40" t="s">
        <v>557</v>
      </c>
      <c r="K759" s="12">
        <f t="shared" ref="K759:L763" si="97">SUM(K760)</f>
        <v>21.5</v>
      </c>
      <c r="L759" s="12">
        <f t="shared" si="97"/>
        <v>14.5</v>
      </c>
      <c r="M759" s="12">
        <f t="shared" si="94"/>
        <v>67.441860465116278</v>
      </c>
      <c r="N759" s="9"/>
    </row>
    <row r="760" spans="1:14" s="28" customFormat="1" ht="32.450000000000003" customHeight="1" x14ac:dyDescent="0.2">
      <c r="A760" s="72"/>
      <c r="B760" s="19" t="s">
        <v>198</v>
      </c>
      <c r="C760" s="62">
        <v>925</v>
      </c>
      <c r="D760" s="8" t="s">
        <v>8</v>
      </c>
      <c r="E760" s="8" t="s">
        <v>7</v>
      </c>
      <c r="F760" s="8" t="s">
        <v>2</v>
      </c>
      <c r="G760" s="40" t="s">
        <v>557</v>
      </c>
      <c r="H760" s="5" t="s">
        <v>557</v>
      </c>
      <c r="I760" s="5" t="s">
        <v>557</v>
      </c>
      <c r="J760" s="40" t="s">
        <v>557</v>
      </c>
      <c r="K760" s="12">
        <f t="shared" si="97"/>
        <v>21.5</v>
      </c>
      <c r="L760" s="12">
        <f t="shared" si="97"/>
        <v>14.5</v>
      </c>
      <c r="M760" s="12">
        <f t="shared" si="94"/>
        <v>67.441860465116278</v>
      </c>
      <c r="N760" s="9"/>
    </row>
    <row r="761" spans="1:14" s="28" customFormat="1" ht="48" customHeight="1" x14ac:dyDescent="0.2">
      <c r="A761" s="72"/>
      <c r="B761" s="19" t="s">
        <v>259</v>
      </c>
      <c r="C761" s="62">
        <v>925</v>
      </c>
      <c r="D761" s="8" t="s">
        <v>8</v>
      </c>
      <c r="E761" s="8" t="s">
        <v>7</v>
      </c>
      <c r="F761" s="8" t="s">
        <v>2</v>
      </c>
      <c r="G761" s="8" t="s">
        <v>116</v>
      </c>
      <c r="H761" s="5" t="s">
        <v>557</v>
      </c>
      <c r="I761" s="5" t="s">
        <v>557</v>
      </c>
      <c r="J761" s="40" t="s">
        <v>557</v>
      </c>
      <c r="K761" s="12">
        <f t="shared" si="97"/>
        <v>21.5</v>
      </c>
      <c r="L761" s="12">
        <f t="shared" si="97"/>
        <v>14.5</v>
      </c>
      <c r="M761" s="12">
        <f t="shared" si="94"/>
        <v>67.441860465116278</v>
      </c>
      <c r="N761" s="9"/>
    </row>
    <row r="762" spans="1:14" s="28" customFormat="1" ht="78.75" x14ac:dyDescent="0.2">
      <c r="A762" s="72"/>
      <c r="B762" s="41" t="s">
        <v>144</v>
      </c>
      <c r="C762" s="62">
        <v>925</v>
      </c>
      <c r="D762" s="8" t="s">
        <v>8</v>
      </c>
      <c r="E762" s="8" t="s">
        <v>7</v>
      </c>
      <c r="F762" s="8" t="s">
        <v>2</v>
      </c>
      <c r="G762" s="8" t="s">
        <v>116</v>
      </c>
      <c r="H762" s="8" t="s">
        <v>7</v>
      </c>
      <c r="I762" s="5" t="s">
        <v>557</v>
      </c>
      <c r="J762" s="40" t="s">
        <v>557</v>
      </c>
      <c r="K762" s="12">
        <f t="shared" si="97"/>
        <v>21.5</v>
      </c>
      <c r="L762" s="12">
        <f t="shared" si="97"/>
        <v>14.5</v>
      </c>
      <c r="M762" s="12">
        <f t="shared" si="94"/>
        <v>67.441860465116278</v>
      </c>
      <c r="N762" s="9"/>
    </row>
    <row r="763" spans="1:14" s="28" customFormat="1" ht="15.6" customHeight="1" x14ac:dyDescent="0.2">
      <c r="A763" s="72"/>
      <c r="B763" s="19" t="s">
        <v>377</v>
      </c>
      <c r="C763" s="62">
        <v>925</v>
      </c>
      <c r="D763" s="8" t="s">
        <v>8</v>
      </c>
      <c r="E763" s="8" t="s">
        <v>7</v>
      </c>
      <c r="F763" s="8" t="s">
        <v>2</v>
      </c>
      <c r="G763" s="8" t="s">
        <v>116</v>
      </c>
      <c r="H763" s="8" t="s">
        <v>7</v>
      </c>
      <c r="I763" s="8" t="s">
        <v>376</v>
      </c>
      <c r="J763" s="40" t="s">
        <v>557</v>
      </c>
      <c r="K763" s="12">
        <f t="shared" si="97"/>
        <v>21.5</v>
      </c>
      <c r="L763" s="12">
        <f t="shared" si="97"/>
        <v>14.5</v>
      </c>
      <c r="M763" s="12">
        <f t="shared" si="94"/>
        <v>67.441860465116278</v>
      </c>
      <c r="N763" s="9"/>
    </row>
    <row r="764" spans="1:14" s="28" customFormat="1" ht="31.5" x14ac:dyDescent="0.2">
      <c r="A764" s="72"/>
      <c r="B764" s="19" t="s">
        <v>164</v>
      </c>
      <c r="C764" s="62">
        <v>925</v>
      </c>
      <c r="D764" s="8" t="s">
        <v>8</v>
      </c>
      <c r="E764" s="8" t="s">
        <v>7</v>
      </c>
      <c r="F764" s="8" t="s">
        <v>2</v>
      </c>
      <c r="G764" s="8" t="s">
        <v>116</v>
      </c>
      <c r="H764" s="8" t="s">
        <v>7</v>
      </c>
      <c r="I764" s="8" t="s">
        <v>376</v>
      </c>
      <c r="J764" s="61" t="s">
        <v>57</v>
      </c>
      <c r="K764" s="12">
        <v>21.5</v>
      </c>
      <c r="L764" s="12">
        <v>14.5</v>
      </c>
      <c r="M764" s="12">
        <f t="shared" si="94"/>
        <v>67.441860465116278</v>
      </c>
      <c r="N764" s="9"/>
    </row>
    <row r="765" spans="1:14" s="28" customFormat="1" x14ac:dyDescent="0.2">
      <c r="A765" s="72"/>
      <c r="B765" s="19" t="s">
        <v>27</v>
      </c>
      <c r="C765" s="62">
        <v>925</v>
      </c>
      <c r="D765" s="8" t="s">
        <v>8</v>
      </c>
      <c r="E765" s="61" t="s">
        <v>24</v>
      </c>
      <c r="F765" s="5" t="s">
        <v>557</v>
      </c>
      <c r="G765" s="40" t="s">
        <v>557</v>
      </c>
      <c r="H765" s="5" t="s">
        <v>557</v>
      </c>
      <c r="I765" s="5" t="s">
        <v>557</v>
      </c>
      <c r="J765" s="40" t="s">
        <v>557</v>
      </c>
      <c r="K765" s="12">
        <f>SUM(K766+K825+K820+K834)</f>
        <v>162397.20000000001</v>
      </c>
      <c r="L765" s="12">
        <f>SUM(L766+L825+L820+L834)</f>
        <v>161598.39999999999</v>
      </c>
      <c r="M765" s="12">
        <f t="shared" si="94"/>
        <v>99.508119598121141</v>
      </c>
      <c r="N765" s="9"/>
    </row>
    <row r="766" spans="1:14" s="28" customFormat="1" ht="30" customHeight="1" x14ac:dyDescent="0.2">
      <c r="A766" s="72"/>
      <c r="B766" s="19" t="s">
        <v>198</v>
      </c>
      <c r="C766" s="62">
        <v>925</v>
      </c>
      <c r="D766" s="61" t="s">
        <v>8</v>
      </c>
      <c r="E766" s="61" t="s">
        <v>24</v>
      </c>
      <c r="F766" s="61" t="s">
        <v>2</v>
      </c>
      <c r="G766" s="40" t="s">
        <v>557</v>
      </c>
      <c r="H766" s="5" t="s">
        <v>557</v>
      </c>
      <c r="I766" s="5" t="s">
        <v>557</v>
      </c>
      <c r="J766" s="40" t="s">
        <v>557</v>
      </c>
      <c r="K766" s="12">
        <f>SUM(K767)</f>
        <v>155470.29999999999</v>
      </c>
      <c r="L766" s="12">
        <f>SUM(L767)</f>
        <v>154671.49999999997</v>
      </c>
      <c r="M766" s="12">
        <f t="shared" si="94"/>
        <v>99.486204117442355</v>
      </c>
      <c r="N766" s="9"/>
    </row>
    <row r="767" spans="1:14" s="28" customFormat="1" ht="49.5" customHeight="1" x14ac:dyDescent="0.2">
      <c r="A767" s="72"/>
      <c r="B767" s="19" t="s">
        <v>259</v>
      </c>
      <c r="C767" s="62">
        <v>925</v>
      </c>
      <c r="D767" s="61" t="s">
        <v>8</v>
      </c>
      <c r="E767" s="61" t="s">
        <v>24</v>
      </c>
      <c r="F767" s="61" t="s">
        <v>2</v>
      </c>
      <c r="G767" s="62">
        <v>1</v>
      </c>
      <c r="H767" s="5" t="s">
        <v>557</v>
      </c>
      <c r="I767" s="5" t="s">
        <v>557</v>
      </c>
      <c r="J767" s="40" t="s">
        <v>557</v>
      </c>
      <c r="K767" s="12">
        <f>SUM(K768+K782+K789+K806+K774+K817+K813)</f>
        <v>155470.29999999999</v>
      </c>
      <c r="L767" s="12">
        <f>SUM(L768+L782+L789+L806+L774+L817+L813)</f>
        <v>154671.49999999997</v>
      </c>
      <c r="M767" s="12">
        <f t="shared" si="94"/>
        <v>99.486204117442355</v>
      </c>
      <c r="N767" s="9"/>
    </row>
    <row r="768" spans="1:14" s="28" customFormat="1" ht="31.5" x14ac:dyDescent="0.2">
      <c r="A768" s="72"/>
      <c r="B768" s="41" t="s">
        <v>172</v>
      </c>
      <c r="C768" s="62">
        <v>925</v>
      </c>
      <c r="D768" s="61" t="s">
        <v>8</v>
      </c>
      <c r="E768" s="61" t="s">
        <v>24</v>
      </c>
      <c r="F768" s="61" t="s">
        <v>2</v>
      </c>
      <c r="G768" s="62">
        <v>1</v>
      </c>
      <c r="H768" s="61" t="s">
        <v>4</v>
      </c>
      <c r="I768" s="5" t="s">
        <v>557</v>
      </c>
      <c r="J768" s="40" t="s">
        <v>557</v>
      </c>
      <c r="K768" s="12">
        <f>SUM(K771+K769)</f>
        <v>297.7</v>
      </c>
      <c r="L768" s="12">
        <f>SUM(L771+L769)</f>
        <v>217.7</v>
      </c>
      <c r="M768" s="12">
        <f t="shared" si="94"/>
        <v>73.127309371850856</v>
      </c>
      <c r="N768" s="9"/>
    </row>
    <row r="769" spans="1:14" s="28" customFormat="1" ht="47.25" x14ac:dyDescent="0.2">
      <c r="A769" s="72"/>
      <c r="B769" s="41" t="s">
        <v>346</v>
      </c>
      <c r="C769" s="62">
        <v>925</v>
      </c>
      <c r="D769" s="61" t="s">
        <v>8</v>
      </c>
      <c r="E769" s="61" t="s">
        <v>24</v>
      </c>
      <c r="F769" s="8" t="s">
        <v>2</v>
      </c>
      <c r="G769" s="8" t="s">
        <v>116</v>
      </c>
      <c r="H769" s="8" t="s">
        <v>4</v>
      </c>
      <c r="I769" s="8" t="s">
        <v>345</v>
      </c>
      <c r="J769" s="40" t="s">
        <v>557</v>
      </c>
      <c r="K769" s="12">
        <f>K770</f>
        <v>210</v>
      </c>
      <c r="L769" s="12">
        <f>L770</f>
        <v>130</v>
      </c>
      <c r="M769" s="12">
        <f t="shared" si="94"/>
        <v>61.904761904761905</v>
      </c>
      <c r="N769" s="9"/>
    </row>
    <row r="770" spans="1:14" s="28" customFormat="1" ht="31.5" x14ac:dyDescent="0.2">
      <c r="A770" s="72"/>
      <c r="B770" s="19" t="s">
        <v>164</v>
      </c>
      <c r="C770" s="62">
        <v>925</v>
      </c>
      <c r="D770" s="61" t="s">
        <v>8</v>
      </c>
      <c r="E770" s="61" t="s">
        <v>24</v>
      </c>
      <c r="F770" s="8" t="s">
        <v>2</v>
      </c>
      <c r="G770" s="8" t="s">
        <v>116</v>
      </c>
      <c r="H770" s="8" t="s">
        <v>4</v>
      </c>
      <c r="I770" s="8" t="s">
        <v>345</v>
      </c>
      <c r="J770" s="61" t="s">
        <v>57</v>
      </c>
      <c r="K770" s="12">
        <v>210</v>
      </c>
      <c r="L770" s="12">
        <v>130</v>
      </c>
      <c r="M770" s="12">
        <f t="shared" si="94"/>
        <v>61.904761904761905</v>
      </c>
      <c r="N770" s="9"/>
    </row>
    <row r="771" spans="1:14" s="28" customFormat="1" ht="192.75" customHeight="1" x14ac:dyDescent="0.2">
      <c r="A771" s="72"/>
      <c r="B771" s="19" t="s">
        <v>322</v>
      </c>
      <c r="C771" s="62">
        <v>925</v>
      </c>
      <c r="D771" s="61" t="s">
        <v>8</v>
      </c>
      <c r="E771" s="61" t="s">
        <v>24</v>
      </c>
      <c r="F771" s="61" t="s">
        <v>2</v>
      </c>
      <c r="G771" s="62">
        <v>1</v>
      </c>
      <c r="H771" s="61" t="s">
        <v>4</v>
      </c>
      <c r="I771" s="61" t="s">
        <v>187</v>
      </c>
      <c r="J771" s="40" t="s">
        <v>557</v>
      </c>
      <c r="K771" s="12">
        <f>SUM(K772:K773)</f>
        <v>87.7</v>
      </c>
      <c r="L771" s="12">
        <f>SUM(L772:L773)</f>
        <v>87.7</v>
      </c>
      <c r="M771" s="12">
        <f t="shared" si="94"/>
        <v>100</v>
      </c>
      <c r="N771" s="9"/>
    </row>
    <row r="772" spans="1:14" s="28" customFormat="1" ht="31.5" x14ac:dyDescent="0.2">
      <c r="A772" s="72"/>
      <c r="B772" s="19" t="s">
        <v>164</v>
      </c>
      <c r="C772" s="62">
        <v>925</v>
      </c>
      <c r="D772" s="61" t="s">
        <v>8</v>
      </c>
      <c r="E772" s="61" t="s">
        <v>24</v>
      </c>
      <c r="F772" s="61" t="s">
        <v>2</v>
      </c>
      <c r="G772" s="62">
        <v>1</v>
      </c>
      <c r="H772" s="61" t="s">
        <v>4</v>
      </c>
      <c r="I772" s="61" t="s">
        <v>187</v>
      </c>
      <c r="J772" s="61" t="s">
        <v>55</v>
      </c>
      <c r="K772" s="12">
        <v>62.7</v>
      </c>
      <c r="L772" s="12">
        <v>62.7</v>
      </c>
      <c r="M772" s="12">
        <f t="shared" si="94"/>
        <v>100</v>
      </c>
      <c r="N772" s="9"/>
    </row>
    <row r="773" spans="1:14" s="28" customFormat="1" ht="31.5" x14ac:dyDescent="0.2">
      <c r="A773" s="72"/>
      <c r="B773" s="19" t="s">
        <v>164</v>
      </c>
      <c r="C773" s="62">
        <v>925</v>
      </c>
      <c r="D773" s="61" t="s">
        <v>8</v>
      </c>
      <c r="E773" s="61" t="s">
        <v>24</v>
      </c>
      <c r="F773" s="61" t="s">
        <v>2</v>
      </c>
      <c r="G773" s="62">
        <v>1</v>
      </c>
      <c r="H773" s="61" t="s">
        <v>4</v>
      </c>
      <c r="I773" s="61" t="s">
        <v>187</v>
      </c>
      <c r="J773" s="61" t="s">
        <v>57</v>
      </c>
      <c r="K773" s="12">
        <f>70-45</f>
        <v>25</v>
      </c>
      <c r="L773" s="12">
        <f>70-45</f>
        <v>25</v>
      </c>
      <c r="M773" s="12">
        <f t="shared" si="94"/>
        <v>100</v>
      </c>
      <c r="N773" s="9"/>
    </row>
    <row r="774" spans="1:14" s="28" customFormat="1" ht="47.25" x14ac:dyDescent="0.2">
      <c r="A774" s="72"/>
      <c r="B774" s="19" t="s">
        <v>555</v>
      </c>
      <c r="C774" s="62">
        <v>925</v>
      </c>
      <c r="D774" s="61" t="s">
        <v>8</v>
      </c>
      <c r="E774" s="61" t="s">
        <v>24</v>
      </c>
      <c r="F774" s="8" t="s">
        <v>2</v>
      </c>
      <c r="G774" s="8" t="s">
        <v>116</v>
      </c>
      <c r="H774" s="8" t="s">
        <v>5</v>
      </c>
      <c r="I774" s="5" t="s">
        <v>557</v>
      </c>
      <c r="J774" s="40" t="s">
        <v>557</v>
      </c>
      <c r="K774" s="12">
        <f>SUM(K775+K779)</f>
        <v>3532.2999999999997</v>
      </c>
      <c r="L774" s="12">
        <f>SUM(L775+L779)</f>
        <v>3489.9</v>
      </c>
      <c r="M774" s="12">
        <f t="shared" si="94"/>
        <v>98.799648953939368</v>
      </c>
      <c r="N774" s="9"/>
    </row>
    <row r="775" spans="1:14" s="28" customFormat="1" ht="48" customHeight="1" x14ac:dyDescent="0.2">
      <c r="A775" s="72"/>
      <c r="B775" s="19" t="s">
        <v>360</v>
      </c>
      <c r="C775" s="62">
        <v>925</v>
      </c>
      <c r="D775" s="61" t="s">
        <v>8</v>
      </c>
      <c r="E775" s="61" t="s">
        <v>24</v>
      </c>
      <c r="F775" s="8" t="s">
        <v>2</v>
      </c>
      <c r="G775" s="8" t="s">
        <v>116</v>
      </c>
      <c r="H775" s="8" t="s">
        <v>5</v>
      </c>
      <c r="I775" s="8" t="s">
        <v>308</v>
      </c>
      <c r="J775" s="40" t="s">
        <v>557</v>
      </c>
      <c r="K775" s="12">
        <f>SUM(K776:K778)</f>
        <v>2822.7</v>
      </c>
      <c r="L775" s="12">
        <f>SUM(L776:L778)</f>
        <v>2814.9</v>
      </c>
      <c r="M775" s="12">
        <f t="shared" si="94"/>
        <v>99.723668827718143</v>
      </c>
      <c r="N775" s="9"/>
    </row>
    <row r="776" spans="1:14" s="28" customFormat="1" ht="65.25" customHeight="1" x14ac:dyDescent="0.2">
      <c r="A776" s="72"/>
      <c r="B776" s="19" t="s">
        <v>185</v>
      </c>
      <c r="C776" s="62">
        <v>925</v>
      </c>
      <c r="D776" s="61" t="s">
        <v>8</v>
      </c>
      <c r="E776" s="61" t="s">
        <v>24</v>
      </c>
      <c r="F776" s="8" t="s">
        <v>2</v>
      </c>
      <c r="G776" s="8" t="s">
        <v>116</v>
      </c>
      <c r="H776" s="8" t="s">
        <v>5</v>
      </c>
      <c r="I776" s="8" t="s">
        <v>308</v>
      </c>
      <c r="J776" s="61" t="s">
        <v>55</v>
      </c>
      <c r="K776" s="12">
        <v>342.9</v>
      </c>
      <c r="L776" s="12">
        <v>335.1</v>
      </c>
      <c r="M776" s="12">
        <f t="shared" si="94"/>
        <v>97.725284339457588</v>
      </c>
      <c r="N776" s="9"/>
    </row>
    <row r="777" spans="1:14" s="28" customFormat="1" ht="31.5" x14ac:dyDescent="0.2">
      <c r="A777" s="72"/>
      <c r="B777" s="19" t="s">
        <v>164</v>
      </c>
      <c r="C777" s="62">
        <v>925</v>
      </c>
      <c r="D777" s="61" t="s">
        <v>8</v>
      </c>
      <c r="E777" s="61" t="s">
        <v>24</v>
      </c>
      <c r="F777" s="8" t="s">
        <v>2</v>
      </c>
      <c r="G777" s="8" t="s">
        <v>116</v>
      </c>
      <c r="H777" s="8" t="s">
        <v>5</v>
      </c>
      <c r="I777" s="8" t="s">
        <v>308</v>
      </c>
      <c r="J777" s="61" t="s">
        <v>57</v>
      </c>
      <c r="K777" s="12">
        <v>179.3</v>
      </c>
      <c r="L777" s="12">
        <v>179.3</v>
      </c>
      <c r="M777" s="12">
        <f t="shared" si="94"/>
        <v>100</v>
      </c>
      <c r="N777" s="9"/>
    </row>
    <row r="778" spans="1:14" s="28" customFormat="1" ht="33.75" customHeight="1" x14ac:dyDescent="0.2">
      <c r="A778" s="72"/>
      <c r="B778" s="19" t="s">
        <v>72</v>
      </c>
      <c r="C778" s="62">
        <v>925</v>
      </c>
      <c r="D778" s="61" t="s">
        <v>8</v>
      </c>
      <c r="E778" s="61" t="s">
        <v>24</v>
      </c>
      <c r="F778" s="8" t="s">
        <v>2</v>
      </c>
      <c r="G778" s="8" t="s">
        <v>116</v>
      </c>
      <c r="H778" s="8" t="s">
        <v>5</v>
      </c>
      <c r="I778" s="8" t="s">
        <v>308</v>
      </c>
      <c r="J778" s="61" t="s">
        <v>73</v>
      </c>
      <c r="K778" s="12">
        <f>1809.4+341.4-522.2+1060.3-388.4</f>
        <v>2300.5</v>
      </c>
      <c r="L778" s="12">
        <f>1809.4+341.4-522.2+1060.3-388.4</f>
        <v>2300.5</v>
      </c>
      <c r="M778" s="12">
        <f t="shared" si="94"/>
        <v>100</v>
      </c>
      <c r="N778" s="9"/>
    </row>
    <row r="779" spans="1:14" s="28" customFormat="1" ht="64.900000000000006" customHeight="1" x14ac:dyDescent="0.2">
      <c r="A779" s="72"/>
      <c r="B779" s="19" t="s">
        <v>484</v>
      </c>
      <c r="C779" s="62">
        <v>925</v>
      </c>
      <c r="D779" s="61" t="s">
        <v>8</v>
      </c>
      <c r="E779" s="61" t="s">
        <v>24</v>
      </c>
      <c r="F779" s="8" t="s">
        <v>2</v>
      </c>
      <c r="G779" s="8" t="s">
        <v>116</v>
      </c>
      <c r="H779" s="8" t="s">
        <v>5</v>
      </c>
      <c r="I779" s="8" t="s">
        <v>485</v>
      </c>
      <c r="J779" s="40" t="s">
        <v>557</v>
      </c>
      <c r="K779" s="12">
        <f>K780+K781</f>
        <v>709.6</v>
      </c>
      <c r="L779" s="12">
        <f>L780+L781</f>
        <v>675</v>
      </c>
      <c r="M779" s="12">
        <f t="shared" si="94"/>
        <v>95.124013528748591</v>
      </c>
      <c r="N779" s="9"/>
    </row>
    <row r="780" spans="1:14" s="28" customFormat="1" ht="48" customHeight="1" x14ac:dyDescent="0.2">
      <c r="A780" s="72"/>
      <c r="B780" s="19" t="s">
        <v>185</v>
      </c>
      <c r="C780" s="62">
        <v>925</v>
      </c>
      <c r="D780" s="61" t="s">
        <v>8</v>
      </c>
      <c r="E780" s="61" t="s">
        <v>24</v>
      </c>
      <c r="F780" s="8" t="s">
        <v>2</v>
      </c>
      <c r="G780" s="8" t="s">
        <v>116</v>
      </c>
      <c r="H780" s="8" t="s">
        <v>5</v>
      </c>
      <c r="I780" s="8" t="s">
        <v>485</v>
      </c>
      <c r="J780" s="61" t="s">
        <v>55</v>
      </c>
      <c r="K780" s="12">
        <f>250.4+185.6</f>
        <v>436</v>
      </c>
      <c r="L780" s="12">
        <v>401.4</v>
      </c>
      <c r="M780" s="12">
        <f t="shared" si="94"/>
        <v>92.064220183486228</v>
      </c>
      <c r="N780" s="9"/>
    </row>
    <row r="781" spans="1:14" s="28" customFormat="1" ht="31.9" customHeight="1" x14ac:dyDescent="0.2">
      <c r="A781" s="72"/>
      <c r="B781" s="19" t="s">
        <v>72</v>
      </c>
      <c r="C781" s="62">
        <v>925</v>
      </c>
      <c r="D781" s="61" t="s">
        <v>8</v>
      </c>
      <c r="E781" s="61" t="s">
        <v>24</v>
      </c>
      <c r="F781" s="8" t="s">
        <v>2</v>
      </c>
      <c r="G781" s="8" t="s">
        <v>116</v>
      </c>
      <c r="H781" s="8" t="s">
        <v>5</v>
      </c>
      <c r="I781" s="8" t="s">
        <v>485</v>
      </c>
      <c r="J781" s="61" t="s">
        <v>73</v>
      </c>
      <c r="K781" s="12">
        <v>273.60000000000002</v>
      </c>
      <c r="L781" s="12">
        <v>273.60000000000002</v>
      </c>
      <c r="M781" s="12">
        <f t="shared" si="94"/>
        <v>100</v>
      </c>
      <c r="N781" s="9"/>
    </row>
    <row r="782" spans="1:14" s="28" customFormat="1" ht="61.9" customHeight="1" x14ac:dyDescent="0.2">
      <c r="A782" s="72"/>
      <c r="B782" s="19" t="s">
        <v>142</v>
      </c>
      <c r="C782" s="62">
        <v>925</v>
      </c>
      <c r="D782" s="61" t="s">
        <v>8</v>
      </c>
      <c r="E782" s="61" t="s">
        <v>24</v>
      </c>
      <c r="F782" s="61" t="s">
        <v>2</v>
      </c>
      <c r="G782" s="62">
        <v>1</v>
      </c>
      <c r="H782" s="61" t="s">
        <v>6</v>
      </c>
      <c r="I782" s="5" t="s">
        <v>557</v>
      </c>
      <c r="J782" s="40" t="s">
        <v>557</v>
      </c>
      <c r="K782" s="12">
        <f>SUM(K785+K787+K783)</f>
        <v>5281.2</v>
      </c>
      <c r="L782" s="12">
        <f>SUM(L785+L787+L783)</f>
        <v>5281.2</v>
      </c>
      <c r="M782" s="12">
        <f t="shared" si="94"/>
        <v>100</v>
      </c>
      <c r="N782" s="9"/>
    </row>
    <row r="783" spans="1:14" s="28" customFormat="1" ht="31.5" x14ac:dyDescent="0.2">
      <c r="A783" s="72"/>
      <c r="B783" s="41" t="s">
        <v>508</v>
      </c>
      <c r="C783" s="62">
        <v>925</v>
      </c>
      <c r="D783" s="61" t="s">
        <v>8</v>
      </c>
      <c r="E783" s="61" t="s">
        <v>24</v>
      </c>
      <c r="F783" s="61" t="s">
        <v>2</v>
      </c>
      <c r="G783" s="62">
        <v>1</v>
      </c>
      <c r="H783" s="61" t="s">
        <v>6</v>
      </c>
      <c r="I783" s="61" t="s">
        <v>509</v>
      </c>
      <c r="J783" s="40" t="s">
        <v>557</v>
      </c>
      <c r="K783" s="12">
        <f>K784</f>
        <v>1017.9</v>
      </c>
      <c r="L783" s="12">
        <f>L784</f>
        <v>1017.9</v>
      </c>
      <c r="M783" s="12">
        <f t="shared" si="94"/>
        <v>100</v>
      </c>
      <c r="N783" s="9"/>
    </row>
    <row r="784" spans="1:14" s="28" customFormat="1" ht="34.5" customHeight="1" x14ac:dyDescent="0.2">
      <c r="A784" s="72"/>
      <c r="B784" s="19" t="s">
        <v>72</v>
      </c>
      <c r="C784" s="62">
        <v>925</v>
      </c>
      <c r="D784" s="61" t="s">
        <v>8</v>
      </c>
      <c r="E784" s="61" t="s">
        <v>24</v>
      </c>
      <c r="F784" s="61" t="s">
        <v>2</v>
      </c>
      <c r="G784" s="62">
        <v>1</v>
      </c>
      <c r="H784" s="61" t="s">
        <v>6</v>
      </c>
      <c r="I784" s="61" t="s">
        <v>509</v>
      </c>
      <c r="J784" s="61" t="s">
        <v>73</v>
      </c>
      <c r="K784" s="12">
        <f>2048.6-203.1+203.1-219.6-811.1</f>
        <v>1017.9</v>
      </c>
      <c r="L784" s="12">
        <f>2048.6-203.1+203.1-219.6-811.1</f>
        <v>1017.9</v>
      </c>
      <c r="M784" s="12">
        <f t="shared" si="94"/>
        <v>100</v>
      </c>
      <c r="N784" s="9"/>
    </row>
    <row r="785" spans="1:14" s="28" customFormat="1" ht="47.25" x14ac:dyDescent="0.2">
      <c r="A785" s="72"/>
      <c r="B785" s="41" t="s">
        <v>193</v>
      </c>
      <c r="C785" s="62">
        <v>925</v>
      </c>
      <c r="D785" s="61" t="s">
        <v>8</v>
      </c>
      <c r="E785" s="61" t="s">
        <v>24</v>
      </c>
      <c r="F785" s="61" t="s">
        <v>2</v>
      </c>
      <c r="G785" s="62">
        <v>1</v>
      </c>
      <c r="H785" s="61" t="s">
        <v>6</v>
      </c>
      <c r="I785" s="61" t="s">
        <v>153</v>
      </c>
      <c r="J785" s="40" t="s">
        <v>557</v>
      </c>
      <c r="K785" s="12">
        <f>SUM(K786:K786)</f>
        <v>4235.7</v>
      </c>
      <c r="L785" s="12">
        <f>SUM(L786:L786)</f>
        <v>4235.7</v>
      </c>
      <c r="M785" s="12">
        <f t="shared" si="94"/>
        <v>100</v>
      </c>
      <c r="N785" s="9"/>
    </row>
    <row r="786" spans="1:14" s="28" customFormat="1" ht="31.15" customHeight="1" x14ac:dyDescent="0.2">
      <c r="A786" s="72"/>
      <c r="B786" s="44" t="s">
        <v>72</v>
      </c>
      <c r="C786" s="62">
        <v>925</v>
      </c>
      <c r="D786" s="61" t="s">
        <v>8</v>
      </c>
      <c r="E786" s="61" t="s">
        <v>24</v>
      </c>
      <c r="F786" s="61" t="s">
        <v>2</v>
      </c>
      <c r="G786" s="62">
        <v>1</v>
      </c>
      <c r="H786" s="61" t="s">
        <v>6</v>
      </c>
      <c r="I786" s="61" t="s">
        <v>153</v>
      </c>
      <c r="J786" s="61" t="s">
        <v>73</v>
      </c>
      <c r="K786" s="12">
        <f>3168+848.1+219.6</f>
        <v>4235.7</v>
      </c>
      <c r="L786" s="12">
        <f>3168+848.1+219.6</f>
        <v>4235.7</v>
      </c>
      <c r="M786" s="12">
        <f t="shared" si="94"/>
        <v>100</v>
      </c>
      <c r="N786" s="9"/>
    </row>
    <row r="787" spans="1:14" s="28" customFormat="1" ht="145.5" customHeight="1" x14ac:dyDescent="0.2">
      <c r="A787" s="72"/>
      <c r="B787" s="43" t="s">
        <v>321</v>
      </c>
      <c r="C787" s="62">
        <v>925</v>
      </c>
      <c r="D787" s="61" t="s">
        <v>8</v>
      </c>
      <c r="E787" s="61" t="s">
        <v>24</v>
      </c>
      <c r="F787" s="61" t="s">
        <v>2</v>
      </c>
      <c r="G787" s="62">
        <v>1</v>
      </c>
      <c r="H787" s="61" t="s">
        <v>6</v>
      </c>
      <c r="I787" s="61" t="s">
        <v>143</v>
      </c>
      <c r="J787" s="40" t="s">
        <v>557</v>
      </c>
      <c r="K787" s="12">
        <f>SUM(K788)</f>
        <v>27.599999999999998</v>
      </c>
      <c r="L787" s="12">
        <f>SUM(L788)</f>
        <v>27.599999999999998</v>
      </c>
      <c r="M787" s="12">
        <f t="shared" si="94"/>
        <v>100</v>
      </c>
      <c r="N787" s="9"/>
    </row>
    <row r="788" spans="1:14" s="28" customFormat="1" ht="67.5" customHeight="1" x14ac:dyDescent="0.2">
      <c r="A788" s="72"/>
      <c r="B788" s="19" t="s">
        <v>185</v>
      </c>
      <c r="C788" s="62">
        <v>925</v>
      </c>
      <c r="D788" s="61" t="s">
        <v>8</v>
      </c>
      <c r="E788" s="61" t="s">
        <v>24</v>
      </c>
      <c r="F788" s="61" t="s">
        <v>2</v>
      </c>
      <c r="G788" s="62">
        <v>1</v>
      </c>
      <c r="H788" s="61" t="s">
        <v>6</v>
      </c>
      <c r="I788" s="61" t="s">
        <v>143</v>
      </c>
      <c r="J788" s="61" t="s">
        <v>55</v>
      </c>
      <c r="K788" s="12">
        <f>6.8+15.4+0.5+0.8+4.9-1+0.2</f>
        <v>27.599999999999998</v>
      </c>
      <c r="L788" s="12">
        <f>6.8+15.4+0.5+0.8+4.9-1+0.2</f>
        <v>27.599999999999998</v>
      </c>
      <c r="M788" s="12">
        <f t="shared" si="94"/>
        <v>100</v>
      </c>
      <c r="N788" s="9"/>
    </row>
    <row r="789" spans="1:14" s="28" customFormat="1" ht="78.75" x14ac:dyDescent="0.2">
      <c r="A789" s="72"/>
      <c r="B789" s="41" t="s">
        <v>144</v>
      </c>
      <c r="C789" s="62">
        <v>925</v>
      </c>
      <c r="D789" s="61" t="s">
        <v>8</v>
      </c>
      <c r="E789" s="61" t="s">
        <v>24</v>
      </c>
      <c r="F789" s="61" t="s">
        <v>2</v>
      </c>
      <c r="G789" s="62">
        <v>1</v>
      </c>
      <c r="H789" s="61" t="s">
        <v>7</v>
      </c>
      <c r="I789" s="5" t="s">
        <v>557</v>
      </c>
      <c r="J789" s="40" t="s">
        <v>557</v>
      </c>
      <c r="K789" s="12">
        <f>SUM(K790+K794+K804+K802+K800+K798)</f>
        <v>124716</v>
      </c>
      <c r="L789" s="12">
        <f>SUM(L790+L794+L804+L802+L800+L798)</f>
        <v>124040.19999999997</v>
      </c>
      <c r="M789" s="12">
        <f t="shared" si="94"/>
        <v>99.458128868789856</v>
      </c>
      <c r="N789" s="9"/>
    </row>
    <row r="790" spans="1:14" s="28" customFormat="1" ht="31.5" x14ac:dyDescent="0.2">
      <c r="A790" s="72"/>
      <c r="B790" s="19" t="s">
        <v>53</v>
      </c>
      <c r="C790" s="62">
        <v>925</v>
      </c>
      <c r="D790" s="61" t="s">
        <v>8</v>
      </c>
      <c r="E790" s="61" t="s">
        <v>24</v>
      </c>
      <c r="F790" s="61" t="s">
        <v>2</v>
      </c>
      <c r="G790" s="62">
        <v>1</v>
      </c>
      <c r="H790" s="61" t="s">
        <v>7</v>
      </c>
      <c r="I790" s="61" t="s">
        <v>99</v>
      </c>
      <c r="J790" s="40" t="s">
        <v>557</v>
      </c>
      <c r="K790" s="12">
        <f>SUM(K791:K793)</f>
        <v>8156.8</v>
      </c>
      <c r="L790" s="12">
        <f>SUM(L791:L793)</f>
        <v>8153.9000000000005</v>
      </c>
      <c r="M790" s="12">
        <f t="shared" si="94"/>
        <v>99.964446841898791</v>
      </c>
      <c r="N790" s="9"/>
    </row>
    <row r="791" spans="1:14" s="28" customFormat="1" ht="48.75" customHeight="1" x14ac:dyDescent="0.2">
      <c r="A791" s="72"/>
      <c r="B791" s="19" t="s">
        <v>54</v>
      </c>
      <c r="C791" s="62">
        <v>925</v>
      </c>
      <c r="D791" s="61" t="s">
        <v>8</v>
      </c>
      <c r="E791" s="61" t="s">
        <v>24</v>
      </c>
      <c r="F791" s="61" t="s">
        <v>2</v>
      </c>
      <c r="G791" s="62">
        <v>1</v>
      </c>
      <c r="H791" s="61" t="s">
        <v>7</v>
      </c>
      <c r="I791" s="61" t="s">
        <v>99</v>
      </c>
      <c r="J791" s="61" t="s">
        <v>55</v>
      </c>
      <c r="K791" s="12">
        <f>6557.9+1122.8-2.1+472.1</f>
        <v>8150.7</v>
      </c>
      <c r="L791" s="12">
        <v>8148.8</v>
      </c>
      <c r="M791" s="12">
        <f t="shared" si="94"/>
        <v>99.976689118726</v>
      </c>
      <c r="N791" s="9"/>
    </row>
    <row r="792" spans="1:14" s="28" customFormat="1" ht="31.5" x14ac:dyDescent="0.2">
      <c r="A792" s="72"/>
      <c r="B792" s="19" t="s">
        <v>164</v>
      </c>
      <c r="C792" s="62">
        <v>925</v>
      </c>
      <c r="D792" s="61" t="s">
        <v>8</v>
      </c>
      <c r="E792" s="61" t="s">
        <v>24</v>
      </c>
      <c r="F792" s="61" t="s">
        <v>2</v>
      </c>
      <c r="G792" s="62">
        <v>1</v>
      </c>
      <c r="H792" s="61" t="s">
        <v>7</v>
      </c>
      <c r="I792" s="61" t="s">
        <v>99</v>
      </c>
      <c r="J792" s="61" t="s">
        <v>57</v>
      </c>
      <c r="K792" s="12">
        <f>3+2.1</f>
        <v>5.0999999999999996</v>
      </c>
      <c r="L792" s="12">
        <f>3+2.1</f>
        <v>5.0999999999999996</v>
      </c>
      <c r="M792" s="12">
        <f t="shared" si="94"/>
        <v>100</v>
      </c>
      <c r="N792" s="9"/>
    </row>
    <row r="793" spans="1:14" s="28" customFormat="1" ht="16.149999999999999" customHeight="1" x14ac:dyDescent="0.2">
      <c r="A793" s="72"/>
      <c r="B793" s="19" t="s">
        <v>59</v>
      </c>
      <c r="C793" s="62">
        <v>925</v>
      </c>
      <c r="D793" s="61" t="s">
        <v>8</v>
      </c>
      <c r="E793" s="61" t="s">
        <v>24</v>
      </c>
      <c r="F793" s="61" t="s">
        <v>2</v>
      </c>
      <c r="G793" s="62">
        <v>1</v>
      </c>
      <c r="H793" s="61" t="s">
        <v>7</v>
      </c>
      <c r="I793" s="61" t="s">
        <v>99</v>
      </c>
      <c r="J793" s="61" t="s">
        <v>60</v>
      </c>
      <c r="K793" s="12">
        <v>1</v>
      </c>
      <c r="L793" s="12">
        <v>0</v>
      </c>
      <c r="M793" s="12">
        <f t="shared" si="94"/>
        <v>0</v>
      </c>
      <c r="N793" s="9"/>
    </row>
    <row r="794" spans="1:14" s="28" customFormat="1" ht="48" customHeight="1" x14ac:dyDescent="0.2">
      <c r="A794" s="72"/>
      <c r="B794" s="41" t="s">
        <v>147</v>
      </c>
      <c r="C794" s="62">
        <v>925</v>
      </c>
      <c r="D794" s="61" t="s">
        <v>8</v>
      </c>
      <c r="E794" s="61" t="s">
        <v>24</v>
      </c>
      <c r="F794" s="61" t="s">
        <v>2</v>
      </c>
      <c r="G794" s="62">
        <v>1</v>
      </c>
      <c r="H794" s="61" t="s">
        <v>7</v>
      </c>
      <c r="I794" s="61" t="s">
        <v>111</v>
      </c>
      <c r="J794" s="40" t="s">
        <v>557</v>
      </c>
      <c r="K794" s="12">
        <f>SUM(K795:K797)</f>
        <v>94352.900000000009</v>
      </c>
      <c r="L794" s="12">
        <f>SUM(L795:L797)</f>
        <v>93679.999999999985</v>
      </c>
      <c r="M794" s="12">
        <f t="shared" si="94"/>
        <v>99.286826372056368</v>
      </c>
      <c r="N794" s="9"/>
    </row>
    <row r="795" spans="1:14" s="28" customFormat="1" ht="51" customHeight="1" x14ac:dyDescent="0.2">
      <c r="A795" s="72"/>
      <c r="B795" s="19" t="s">
        <v>54</v>
      </c>
      <c r="C795" s="62">
        <v>925</v>
      </c>
      <c r="D795" s="61" t="s">
        <v>8</v>
      </c>
      <c r="E795" s="61" t="s">
        <v>24</v>
      </c>
      <c r="F795" s="61" t="s">
        <v>2</v>
      </c>
      <c r="G795" s="62">
        <v>1</v>
      </c>
      <c r="H795" s="61" t="s">
        <v>7</v>
      </c>
      <c r="I795" s="61" t="s">
        <v>111</v>
      </c>
      <c r="J795" s="61" t="s">
        <v>55</v>
      </c>
      <c r="K795" s="12">
        <f>40867.5+20667.2+10942.3-2672.1+12191.6</f>
        <v>81996.5</v>
      </c>
      <c r="L795" s="12">
        <v>81992.899999999994</v>
      </c>
      <c r="M795" s="12">
        <f t="shared" si="94"/>
        <v>99.995609568701099</v>
      </c>
      <c r="N795" s="9"/>
    </row>
    <row r="796" spans="1:14" s="28" customFormat="1" ht="31.5" x14ac:dyDescent="0.2">
      <c r="A796" s="72"/>
      <c r="B796" s="19" t="s">
        <v>164</v>
      </c>
      <c r="C796" s="62">
        <v>925</v>
      </c>
      <c r="D796" s="61" t="s">
        <v>8</v>
      </c>
      <c r="E796" s="61" t="s">
        <v>24</v>
      </c>
      <c r="F796" s="61" t="s">
        <v>2</v>
      </c>
      <c r="G796" s="62">
        <v>1</v>
      </c>
      <c r="H796" s="61" t="s">
        <v>7</v>
      </c>
      <c r="I796" s="61" t="s">
        <v>111</v>
      </c>
      <c r="J796" s="61" t="s">
        <v>57</v>
      </c>
      <c r="K796" s="12">
        <f>9579.9+2590+1384.9+301.7+33.4+23.9+20.7+3.7+4.7+15+0.9+16.8+4.1-0.2-1655.7</f>
        <v>12323.8</v>
      </c>
      <c r="L796" s="12">
        <v>11673.4</v>
      </c>
      <c r="M796" s="12">
        <f t="shared" si="94"/>
        <v>94.722407049773622</v>
      </c>
      <c r="N796" s="9"/>
    </row>
    <row r="797" spans="1:14" s="28" customFormat="1" ht="16.149999999999999" customHeight="1" x14ac:dyDescent="0.2">
      <c r="A797" s="72"/>
      <c r="B797" s="19" t="s">
        <v>59</v>
      </c>
      <c r="C797" s="62">
        <v>925</v>
      </c>
      <c r="D797" s="61" t="s">
        <v>8</v>
      </c>
      <c r="E797" s="61" t="s">
        <v>24</v>
      </c>
      <c r="F797" s="61" t="s">
        <v>2</v>
      </c>
      <c r="G797" s="62">
        <v>1</v>
      </c>
      <c r="H797" s="61" t="s">
        <v>7</v>
      </c>
      <c r="I797" s="61" t="s">
        <v>111</v>
      </c>
      <c r="J797" s="61" t="s">
        <v>60</v>
      </c>
      <c r="K797" s="12">
        <f>51.3+25.3+0.4-0.1-44.3</f>
        <v>32.600000000000009</v>
      </c>
      <c r="L797" s="12">
        <v>13.7</v>
      </c>
      <c r="M797" s="12">
        <f t="shared" si="94"/>
        <v>42.024539877300597</v>
      </c>
      <c r="N797" s="9"/>
    </row>
    <row r="798" spans="1:14" s="28" customFormat="1" ht="31.5" x14ac:dyDescent="0.2">
      <c r="A798" s="72"/>
      <c r="B798" s="19" t="s">
        <v>374</v>
      </c>
      <c r="C798" s="62">
        <v>925</v>
      </c>
      <c r="D798" s="61" t="s">
        <v>8</v>
      </c>
      <c r="E798" s="8" t="s">
        <v>24</v>
      </c>
      <c r="F798" s="8" t="s">
        <v>2</v>
      </c>
      <c r="G798" s="63">
        <v>1</v>
      </c>
      <c r="H798" s="8" t="s">
        <v>7</v>
      </c>
      <c r="I798" s="8" t="s">
        <v>373</v>
      </c>
      <c r="J798" s="40" t="s">
        <v>557</v>
      </c>
      <c r="K798" s="12">
        <f>SUM(K799)</f>
        <v>24</v>
      </c>
      <c r="L798" s="12">
        <f>SUM(L799)</f>
        <v>24</v>
      </c>
      <c r="M798" s="12">
        <f t="shared" si="94"/>
        <v>100</v>
      </c>
      <c r="N798" s="9"/>
    </row>
    <row r="799" spans="1:14" s="28" customFormat="1" ht="31.5" x14ac:dyDescent="0.2">
      <c r="A799" s="72"/>
      <c r="B799" s="19" t="s">
        <v>164</v>
      </c>
      <c r="C799" s="62">
        <v>925</v>
      </c>
      <c r="D799" s="8" t="s">
        <v>8</v>
      </c>
      <c r="E799" s="8" t="s">
        <v>24</v>
      </c>
      <c r="F799" s="8" t="s">
        <v>2</v>
      </c>
      <c r="G799" s="63">
        <v>1</v>
      </c>
      <c r="H799" s="8" t="s">
        <v>7</v>
      </c>
      <c r="I799" s="8" t="s">
        <v>373</v>
      </c>
      <c r="J799" s="8" t="s">
        <v>57</v>
      </c>
      <c r="K799" s="12">
        <f>24</f>
        <v>24</v>
      </c>
      <c r="L799" s="12">
        <f>24</f>
        <v>24</v>
      </c>
      <c r="M799" s="12">
        <f t="shared" si="94"/>
        <v>100</v>
      </c>
      <c r="N799" s="9"/>
    </row>
    <row r="800" spans="1:14" s="28" customFormat="1" ht="160.5" customHeight="1" x14ac:dyDescent="0.2">
      <c r="A800" s="72"/>
      <c r="B800" s="41" t="s">
        <v>518</v>
      </c>
      <c r="C800" s="62">
        <v>925</v>
      </c>
      <c r="D800" s="61" t="s">
        <v>8</v>
      </c>
      <c r="E800" s="61" t="s">
        <v>24</v>
      </c>
      <c r="F800" s="61" t="s">
        <v>2</v>
      </c>
      <c r="G800" s="62">
        <v>1</v>
      </c>
      <c r="H800" s="61" t="s">
        <v>7</v>
      </c>
      <c r="I800" s="61" t="s">
        <v>517</v>
      </c>
      <c r="J800" s="40" t="s">
        <v>557</v>
      </c>
      <c r="K800" s="12">
        <f>K801</f>
        <v>598.9</v>
      </c>
      <c r="L800" s="12">
        <f>L801</f>
        <v>598.9</v>
      </c>
      <c r="M800" s="12">
        <f t="shared" si="94"/>
        <v>100</v>
      </c>
      <c r="N800" s="9"/>
    </row>
    <row r="801" spans="1:14" s="28" customFormat="1" ht="33.6" customHeight="1" x14ac:dyDescent="0.2">
      <c r="A801" s="72"/>
      <c r="B801" s="44" t="s">
        <v>162</v>
      </c>
      <c r="C801" s="62">
        <v>925</v>
      </c>
      <c r="D801" s="61" t="s">
        <v>8</v>
      </c>
      <c r="E801" s="61" t="s">
        <v>24</v>
      </c>
      <c r="F801" s="61" t="s">
        <v>2</v>
      </c>
      <c r="G801" s="62">
        <v>1</v>
      </c>
      <c r="H801" s="61" t="s">
        <v>7</v>
      </c>
      <c r="I801" s="61" t="s">
        <v>517</v>
      </c>
      <c r="J801" s="61" t="s">
        <v>73</v>
      </c>
      <c r="K801" s="12">
        <v>598.9</v>
      </c>
      <c r="L801" s="12">
        <v>598.9</v>
      </c>
      <c r="M801" s="12">
        <f t="shared" si="94"/>
        <v>100</v>
      </c>
      <c r="N801" s="9"/>
    </row>
    <row r="802" spans="1:14" s="28" customFormat="1" ht="99" customHeight="1" x14ac:dyDescent="0.2">
      <c r="A802" s="72"/>
      <c r="B802" s="53" t="s">
        <v>323</v>
      </c>
      <c r="C802" s="62">
        <v>925</v>
      </c>
      <c r="D802" s="61" t="s">
        <v>8</v>
      </c>
      <c r="E802" s="61" t="s">
        <v>24</v>
      </c>
      <c r="F802" s="61" t="s">
        <v>2</v>
      </c>
      <c r="G802" s="62">
        <v>1</v>
      </c>
      <c r="H802" s="61" t="s">
        <v>7</v>
      </c>
      <c r="I802" s="61" t="s">
        <v>154</v>
      </c>
      <c r="J802" s="40" t="s">
        <v>557</v>
      </c>
      <c r="K802" s="12">
        <f>K803</f>
        <v>64.899999999999991</v>
      </c>
      <c r="L802" s="12">
        <f>L803</f>
        <v>64.899999999999991</v>
      </c>
      <c r="M802" s="12">
        <f t="shared" si="94"/>
        <v>100</v>
      </c>
      <c r="N802" s="9"/>
    </row>
    <row r="803" spans="1:14" s="28" customFormat="1" ht="46.5" customHeight="1" x14ac:dyDescent="0.2">
      <c r="A803" s="72"/>
      <c r="B803" s="19" t="s">
        <v>54</v>
      </c>
      <c r="C803" s="62">
        <v>925</v>
      </c>
      <c r="D803" s="61" t="s">
        <v>8</v>
      </c>
      <c r="E803" s="61" t="s">
        <v>24</v>
      </c>
      <c r="F803" s="61" t="s">
        <v>2</v>
      </c>
      <c r="G803" s="62">
        <v>1</v>
      </c>
      <c r="H803" s="61" t="s">
        <v>7</v>
      </c>
      <c r="I803" s="61" t="s">
        <v>154</v>
      </c>
      <c r="J803" s="61" t="s">
        <v>55</v>
      </c>
      <c r="K803" s="12">
        <f>78.3-13.4</f>
        <v>64.899999999999991</v>
      </c>
      <c r="L803" s="12">
        <f>78.3-13.4</f>
        <v>64.899999999999991</v>
      </c>
      <c r="M803" s="12">
        <f t="shared" si="94"/>
        <v>100</v>
      </c>
      <c r="N803" s="9"/>
    </row>
    <row r="804" spans="1:14" s="28" customFormat="1" ht="94.5" x14ac:dyDescent="0.2">
      <c r="A804" s="72"/>
      <c r="B804" s="44" t="s">
        <v>324</v>
      </c>
      <c r="C804" s="62">
        <v>925</v>
      </c>
      <c r="D804" s="61" t="s">
        <v>8</v>
      </c>
      <c r="E804" s="61" t="s">
        <v>24</v>
      </c>
      <c r="F804" s="61" t="s">
        <v>2</v>
      </c>
      <c r="G804" s="62">
        <v>1</v>
      </c>
      <c r="H804" s="61" t="s">
        <v>7</v>
      </c>
      <c r="I804" s="61" t="s">
        <v>146</v>
      </c>
      <c r="J804" s="40" t="s">
        <v>557</v>
      </c>
      <c r="K804" s="12">
        <f>SUM(K805:K805)</f>
        <v>21518.499999999996</v>
      </c>
      <c r="L804" s="12">
        <f>SUM(L805:L805)</f>
        <v>21518.499999999996</v>
      </c>
      <c r="M804" s="12">
        <f t="shared" si="94"/>
        <v>100</v>
      </c>
      <c r="N804" s="9"/>
    </row>
    <row r="805" spans="1:14" s="28" customFormat="1" ht="52.5" customHeight="1" x14ac:dyDescent="0.2">
      <c r="A805" s="72"/>
      <c r="B805" s="19" t="s">
        <v>54</v>
      </c>
      <c r="C805" s="62">
        <v>925</v>
      </c>
      <c r="D805" s="61" t="s">
        <v>8</v>
      </c>
      <c r="E805" s="61" t="s">
        <v>24</v>
      </c>
      <c r="F805" s="61" t="s">
        <v>2</v>
      </c>
      <c r="G805" s="62">
        <v>1</v>
      </c>
      <c r="H805" s="61" t="s">
        <v>7</v>
      </c>
      <c r="I805" s="61" t="s">
        <v>146</v>
      </c>
      <c r="J805" s="61" t="s">
        <v>55</v>
      </c>
      <c r="K805" s="12">
        <f>6563.7+11598.9+446.9-529.5+876.1+1588.3+654+320.1</f>
        <v>21518.499999999996</v>
      </c>
      <c r="L805" s="12">
        <f>6563.7+11598.9+446.9-529.5+876.1+1588.3+654+320.1</f>
        <v>21518.499999999996</v>
      </c>
      <c r="M805" s="12">
        <f t="shared" ref="M805:M860" si="98">SUM(L805/K805*100)</f>
        <v>100</v>
      </c>
      <c r="N805" s="9"/>
    </row>
    <row r="806" spans="1:14" s="28" customFormat="1" ht="15" customHeight="1" x14ac:dyDescent="0.2">
      <c r="A806" s="72"/>
      <c r="B806" s="19" t="s">
        <v>149</v>
      </c>
      <c r="C806" s="62">
        <v>925</v>
      </c>
      <c r="D806" s="8" t="s">
        <v>8</v>
      </c>
      <c r="E806" s="61" t="s">
        <v>24</v>
      </c>
      <c r="F806" s="61" t="s">
        <v>2</v>
      </c>
      <c r="G806" s="62">
        <v>1</v>
      </c>
      <c r="H806" s="61" t="s">
        <v>30</v>
      </c>
      <c r="I806" s="5" t="s">
        <v>557</v>
      </c>
      <c r="J806" s="40" t="s">
        <v>557</v>
      </c>
      <c r="K806" s="12">
        <f>K807+K809+K811</f>
        <v>19346</v>
      </c>
      <c r="L806" s="12">
        <f>L807+L809+L811</f>
        <v>19346</v>
      </c>
      <c r="M806" s="12">
        <f t="shared" si="98"/>
        <v>100</v>
      </c>
      <c r="N806" s="9"/>
    </row>
    <row r="807" spans="1:14" s="28" customFormat="1" ht="47.25" x14ac:dyDescent="0.2">
      <c r="A807" s="72"/>
      <c r="B807" s="20" t="s">
        <v>260</v>
      </c>
      <c r="C807" s="62">
        <v>925</v>
      </c>
      <c r="D807" s="61" t="s">
        <v>8</v>
      </c>
      <c r="E807" s="61" t="s">
        <v>24</v>
      </c>
      <c r="F807" s="61" t="s">
        <v>2</v>
      </c>
      <c r="G807" s="62">
        <v>1</v>
      </c>
      <c r="H807" s="61" t="s">
        <v>30</v>
      </c>
      <c r="I807" s="61" t="s">
        <v>192</v>
      </c>
      <c r="J807" s="40" t="s">
        <v>557</v>
      </c>
      <c r="K807" s="12">
        <f>K808</f>
        <v>19048</v>
      </c>
      <c r="L807" s="12">
        <f>L808</f>
        <v>19048</v>
      </c>
      <c r="M807" s="12">
        <f t="shared" si="98"/>
        <v>100</v>
      </c>
      <c r="N807" s="9"/>
    </row>
    <row r="808" spans="1:14" s="28" customFormat="1" ht="37.5" customHeight="1" x14ac:dyDescent="0.2">
      <c r="A808" s="72"/>
      <c r="B808" s="44" t="s">
        <v>162</v>
      </c>
      <c r="C808" s="62">
        <v>925</v>
      </c>
      <c r="D808" s="61" t="s">
        <v>8</v>
      </c>
      <c r="E808" s="61" t="s">
        <v>24</v>
      </c>
      <c r="F808" s="61" t="s">
        <v>2</v>
      </c>
      <c r="G808" s="62">
        <v>1</v>
      </c>
      <c r="H808" s="61" t="s">
        <v>30</v>
      </c>
      <c r="I808" s="61" t="s">
        <v>192</v>
      </c>
      <c r="J808" s="61" t="s">
        <v>73</v>
      </c>
      <c r="K808" s="12">
        <f>16626.4+2421.6</f>
        <v>19048</v>
      </c>
      <c r="L808" s="12">
        <f>16626.4+2421.6</f>
        <v>19048</v>
      </c>
      <c r="M808" s="12">
        <f t="shared" si="98"/>
        <v>100</v>
      </c>
      <c r="N808" s="9"/>
    </row>
    <row r="809" spans="1:14" s="28" customFormat="1" ht="189" x14ac:dyDescent="0.2">
      <c r="A809" s="72"/>
      <c r="B809" s="19" t="s">
        <v>511</v>
      </c>
      <c r="C809" s="62">
        <v>925</v>
      </c>
      <c r="D809" s="61" t="s">
        <v>8</v>
      </c>
      <c r="E809" s="61" t="s">
        <v>24</v>
      </c>
      <c r="F809" s="61" t="s">
        <v>2</v>
      </c>
      <c r="G809" s="62">
        <v>1</v>
      </c>
      <c r="H809" s="61" t="s">
        <v>30</v>
      </c>
      <c r="I809" s="61" t="s">
        <v>151</v>
      </c>
      <c r="J809" s="40" t="s">
        <v>557</v>
      </c>
      <c r="K809" s="12">
        <f>SUM(K810)</f>
        <v>273.00000000000006</v>
      </c>
      <c r="L809" s="12">
        <f>SUM(L810)</f>
        <v>273.00000000000006</v>
      </c>
      <c r="M809" s="12">
        <f t="shared" si="98"/>
        <v>100</v>
      </c>
      <c r="N809" s="9"/>
    </row>
    <row r="810" spans="1:14" s="28" customFormat="1" ht="48.75" customHeight="1" x14ac:dyDescent="0.2">
      <c r="A810" s="72"/>
      <c r="B810" s="19" t="s">
        <v>54</v>
      </c>
      <c r="C810" s="62">
        <v>925</v>
      </c>
      <c r="D810" s="61" t="s">
        <v>8</v>
      </c>
      <c r="E810" s="61" t="s">
        <v>24</v>
      </c>
      <c r="F810" s="61" t="s">
        <v>2</v>
      </c>
      <c r="G810" s="62">
        <v>1</v>
      </c>
      <c r="H810" s="61" t="s">
        <v>30</v>
      </c>
      <c r="I810" s="61" t="s">
        <v>151</v>
      </c>
      <c r="J810" s="61" t="s">
        <v>55</v>
      </c>
      <c r="K810" s="12">
        <f>12+197.8+65.9-2.7</f>
        <v>273.00000000000006</v>
      </c>
      <c r="L810" s="12">
        <f>12+197.8+65.9-2.7</f>
        <v>273.00000000000006</v>
      </c>
      <c r="M810" s="12">
        <f t="shared" si="98"/>
        <v>100</v>
      </c>
      <c r="N810" s="9"/>
    </row>
    <row r="811" spans="1:14" s="28" customFormat="1" ht="126" x14ac:dyDescent="0.2">
      <c r="A811" s="72"/>
      <c r="B811" s="19" t="s">
        <v>383</v>
      </c>
      <c r="C811" s="62">
        <v>925</v>
      </c>
      <c r="D811" s="61" t="s">
        <v>8</v>
      </c>
      <c r="E811" s="61" t="s">
        <v>24</v>
      </c>
      <c r="F811" s="8" t="s">
        <v>2</v>
      </c>
      <c r="G811" s="8" t="s">
        <v>116</v>
      </c>
      <c r="H811" s="8" t="s">
        <v>30</v>
      </c>
      <c r="I811" s="8" t="s">
        <v>384</v>
      </c>
      <c r="J811" s="40" t="s">
        <v>557</v>
      </c>
      <c r="K811" s="12">
        <f>K812</f>
        <v>25</v>
      </c>
      <c r="L811" s="12">
        <f>L812</f>
        <v>25</v>
      </c>
      <c r="M811" s="12">
        <f t="shared" si="98"/>
        <v>100</v>
      </c>
      <c r="N811" s="9"/>
    </row>
    <row r="812" spans="1:14" s="28" customFormat="1" ht="78.75" x14ac:dyDescent="0.2">
      <c r="A812" s="72"/>
      <c r="B812" s="19" t="s">
        <v>163</v>
      </c>
      <c r="C812" s="62">
        <v>925</v>
      </c>
      <c r="D812" s="61" t="s">
        <v>8</v>
      </c>
      <c r="E812" s="61" t="s">
        <v>24</v>
      </c>
      <c r="F812" s="8" t="s">
        <v>2</v>
      </c>
      <c r="G812" s="8" t="s">
        <v>116</v>
      </c>
      <c r="H812" s="8" t="s">
        <v>30</v>
      </c>
      <c r="I812" s="8" t="s">
        <v>384</v>
      </c>
      <c r="J812" s="61" t="s">
        <v>55</v>
      </c>
      <c r="K812" s="12">
        <f>20.8+4.2</f>
        <v>25</v>
      </c>
      <c r="L812" s="12">
        <f>20.8+4.2</f>
        <v>25</v>
      </c>
      <c r="M812" s="12">
        <f t="shared" si="98"/>
        <v>100</v>
      </c>
      <c r="N812" s="9"/>
    </row>
    <row r="813" spans="1:14" s="28" customFormat="1" ht="78.75" x14ac:dyDescent="0.2">
      <c r="A813" s="72"/>
      <c r="B813" s="19" t="s">
        <v>215</v>
      </c>
      <c r="C813" s="62">
        <v>925</v>
      </c>
      <c r="D813" s="61" t="s">
        <v>8</v>
      </c>
      <c r="E813" s="61" t="s">
        <v>24</v>
      </c>
      <c r="F813" s="8" t="s">
        <v>2</v>
      </c>
      <c r="G813" s="8" t="s">
        <v>116</v>
      </c>
      <c r="H813" s="8" t="s">
        <v>17</v>
      </c>
      <c r="I813" s="5" t="s">
        <v>557</v>
      </c>
      <c r="J813" s="40" t="s">
        <v>557</v>
      </c>
      <c r="K813" s="12">
        <f>K814</f>
        <v>1190.2</v>
      </c>
      <c r="L813" s="12">
        <f>L814</f>
        <v>1189.6000000000001</v>
      </c>
      <c r="M813" s="12">
        <f t="shared" si="98"/>
        <v>99.949588304486653</v>
      </c>
      <c r="N813" s="9"/>
    </row>
    <row r="814" spans="1:14" s="28" customFormat="1" ht="19.899999999999999" customHeight="1" x14ac:dyDescent="0.2">
      <c r="A814" s="72"/>
      <c r="B814" s="19" t="s">
        <v>496</v>
      </c>
      <c r="C814" s="62">
        <v>925</v>
      </c>
      <c r="D814" s="61" t="s">
        <v>8</v>
      </c>
      <c r="E814" s="61" t="s">
        <v>24</v>
      </c>
      <c r="F814" s="8" t="s">
        <v>2</v>
      </c>
      <c r="G814" s="8" t="s">
        <v>116</v>
      </c>
      <c r="H814" s="8" t="s">
        <v>17</v>
      </c>
      <c r="I814" s="8" t="s">
        <v>497</v>
      </c>
      <c r="J814" s="40" t="s">
        <v>557</v>
      </c>
      <c r="K814" s="12">
        <f>K815+K816</f>
        <v>1190.2</v>
      </c>
      <c r="L814" s="12">
        <f>L815+L816</f>
        <v>1189.6000000000001</v>
      </c>
      <c r="M814" s="12">
        <f t="shared" si="98"/>
        <v>99.949588304486653</v>
      </c>
      <c r="N814" s="9"/>
    </row>
    <row r="815" spans="1:14" s="28" customFormat="1" ht="45.75" customHeight="1" x14ac:dyDescent="0.2">
      <c r="A815" s="72"/>
      <c r="B815" s="19" t="s">
        <v>54</v>
      </c>
      <c r="C815" s="62">
        <v>925</v>
      </c>
      <c r="D815" s="61" t="s">
        <v>8</v>
      </c>
      <c r="E815" s="61" t="s">
        <v>24</v>
      </c>
      <c r="F815" s="8" t="s">
        <v>2</v>
      </c>
      <c r="G815" s="8" t="s">
        <v>116</v>
      </c>
      <c r="H815" s="8" t="s">
        <v>17</v>
      </c>
      <c r="I815" s="8" t="s">
        <v>497</v>
      </c>
      <c r="J815" s="61" t="s">
        <v>55</v>
      </c>
      <c r="K815" s="12">
        <v>36.799999999999997</v>
      </c>
      <c r="L815" s="12">
        <v>36.200000000000003</v>
      </c>
      <c r="M815" s="12">
        <f t="shared" si="98"/>
        <v>98.369565217391326</v>
      </c>
      <c r="N815" s="9"/>
    </row>
    <row r="816" spans="1:14" s="28" customFormat="1" ht="33" customHeight="1" x14ac:dyDescent="0.2">
      <c r="A816" s="72"/>
      <c r="B816" s="19" t="s">
        <v>162</v>
      </c>
      <c r="C816" s="62">
        <v>925</v>
      </c>
      <c r="D816" s="61" t="s">
        <v>8</v>
      </c>
      <c r="E816" s="61" t="s">
        <v>24</v>
      </c>
      <c r="F816" s="8" t="s">
        <v>2</v>
      </c>
      <c r="G816" s="8" t="s">
        <v>116</v>
      </c>
      <c r="H816" s="8" t="s">
        <v>17</v>
      </c>
      <c r="I816" s="8" t="s">
        <v>497</v>
      </c>
      <c r="J816" s="61" t="s">
        <v>73</v>
      </c>
      <c r="K816" s="12">
        <f>28.4+1125</f>
        <v>1153.4000000000001</v>
      </c>
      <c r="L816" s="12">
        <f>28.4+1125</f>
        <v>1153.4000000000001</v>
      </c>
      <c r="M816" s="12">
        <f t="shared" si="98"/>
        <v>100</v>
      </c>
      <c r="N816" s="9"/>
    </row>
    <row r="817" spans="1:14" s="28" customFormat="1" ht="32.450000000000003" customHeight="1" x14ac:dyDescent="0.2">
      <c r="A817" s="72"/>
      <c r="B817" s="19" t="s">
        <v>427</v>
      </c>
      <c r="C817" s="62">
        <v>925</v>
      </c>
      <c r="D817" s="61" t="s">
        <v>8</v>
      </c>
      <c r="E817" s="61" t="s">
        <v>24</v>
      </c>
      <c r="F817" s="8" t="s">
        <v>2</v>
      </c>
      <c r="G817" s="8" t="s">
        <v>116</v>
      </c>
      <c r="H817" s="8" t="s">
        <v>416</v>
      </c>
      <c r="I817" s="5" t="s">
        <v>557</v>
      </c>
      <c r="J817" s="40" t="s">
        <v>557</v>
      </c>
      <c r="K817" s="12">
        <f>SUM(K818)</f>
        <v>1106.8999999999996</v>
      </c>
      <c r="L817" s="12">
        <f>SUM(L818)</f>
        <v>1106.8999999999996</v>
      </c>
      <c r="M817" s="12">
        <f t="shared" si="98"/>
        <v>100</v>
      </c>
      <c r="N817" s="9"/>
    </row>
    <row r="818" spans="1:14" s="28" customFormat="1" ht="80.25" customHeight="1" x14ac:dyDescent="0.2">
      <c r="A818" s="72"/>
      <c r="B818" s="19" t="s">
        <v>415</v>
      </c>
      <c r="C818" s="62">
        <v>925</v>
      </c>
      <c r="D818" s="61" t="s">
        <v>8</v>
      </c>
      <c r="E818" s="61" t="s">
        <v>24</v>
      </c>
      <c r="F818" s="8" t="s">
        <v>2</v>
      </c>
      <c r="G818" s="8" t="s">
        <v>116</v>
      </c>
      <c r="H818" s="8" t="s">
        <v>416</v>
      </c>
      <c r="I818" s="8" t="s">
        <v>417</v>
      </c>
      <c r="J818" s="40" t="s">
        <v>557</v>
      </c>
      <c r="K818" s="12">
        <f>SUM(K819)</f>
        <v>1106.8999999999996</v>
      </c>
      <c r="L818" s="12">
        <f>SUM(L819)</f>
        <v>1106.8999999999996</v>
      </c>
      <c r="M818" s="12">
        <f t="shared" si="98"/>
        <v>100</v>
      </c>
      <c r="N818" s="9"/>
    </row>
    <row r="819" spans="1:14" s="28" customFormat="1" ht="36" customHeight="1" x14ac:dyDescent="0.2">
      <c r="A819" s="72"/>
      <c r="B819" s="19" t="s">
        <v>315</v>
      </c>
      <c r="C819" s="62">
        <v>925</v>
      </c>
      <c r="D819" s="61" t="s">
        <v>8</v>
      </c>
      <c r="E819" s="61" t="s">
        <v>24</v>
      </c>
      <c r="F819" s="8" t="s">
        <v>2</v>
      </c>
      <c r="G819" s="8" t="s">
        <v>116</v>
      </c>
      <c r="H819" s="8" t="s">
        <v>416</v>
      </c>
      <c r="I819" s="8" t="s">
        <v>417</v>
      </c>
      <c r="J819" s="61" t="s">
        <v>73</v>
      </c>
      <c r="K819" s="12">
        <f>66.5+1041.6+46.3+3-50.4-0.2+0.1</f>
        <v>1106.8999999999996</v>
      </c>
      <c r="L819" s="12">
        <f>66.5+1041.6+46.3+3-50.4-0.2+0.1</f>
        <v>1106.8999999999996</v>
      </c>
      <c r="M819" s="12">
        <f t="shared" si="98"/>
        <v>100</v>
      </c>
      <c r="N819" s="9"/>
    </row>
    <row r="820" spans="1:14" s="28" customFormat="1" ht="30" customHeight="1" x14ac:dyDescent="0.2">
      <c r="A820" s="72"/>
      <c r="B820" s="41" t="s">
        <v>314</v>
      </c>
      <c r="C820" s="62">
        <v>925</v>
      </c>
      <c r="D820" s="61" t="s">
        <v>8</v>
      </c>
      <c r="E820" s="61" t="s">
        <v>24</v>
      </c>
      <c r="F820" s="8" t="s">
        <v>4</v>
      </c>
      <c r="G820" s="40" t="s">
        <v>557</v>
      </c>
      <c r="H820" s="5" t="s">
        <v>557</v>
      </c>
      <c r="I820" s="5" t="s">
        <v>557</v>
      </c>
      <c r="J820" s="40" t="s">
        <v>557</v>
      </c>
      <c r="K820" s="12">
        <f t="shared" ref="K820:L823" si="99">K821</f>
        <v>810.7</v>
      </c>
      <c r="L820" s="12">
        <f t="shared" si="99"/>
        <v>810.7</v>
      </c>
      <c r="M820" s="12">
        <f t="shared" si="98"/>
        <v>100</v>
      </c>
      <c r="N820" s="9"/>
    </row>
    <row r="821" spans="1:14" s="28" customFormat="1" ht="30" customHeight="1" x14ac:dyDescent="0.2">
      <c r="A821" s="72"/>
      <c r="B821" s="41" t="s">
        <v>136</v>
      </c>
      <c r="C821" s="62">
        <v>925</v>
      </c>
      <c r="D821" s="61" t="s">
        <v>8</v>
      </c>
      <c r="E821" s="61" t="s">
        <v>24</v>
      </c>
      <c r="F821" s="8" t="s">
        <v>4</v>
      </c>
      <c r="G821" s="8" t="s">
        <v>116</v>
      </c>
      <c r="H821" s="5" t="s">
        <v>557</v>
      </c>
      <c r="I821" s="5" t="s">
        <v>557</v>
      </c>
      <c r="J821" s="40" t="s">
        <v>557</v>
      </c>
      <c r="K821" s="12">
        <f t="shared" si="99"/>
        <v>810.7</v>
      </c>
      <c r="L821" s="12">
        <f t="shared" si="99"/>
        <v>810.7</v>
      </c>
      <c r="M821" s="12">
        <f t="shared" si="98"/>
        <v>100</v>
      </c>
      <c r="N821" s="9"/>
    </row>
    <row r="822" spans="1:14" s="28" customFormat="1" ht="33.75" customHeight="1" x14ac:dyDescent="0.2">
      <c r="A822" s="72"/>
      <c r="B822" s="41" t="s">
        <v>137</v>
      </c>
      <c r="C822" s="62">
        <v>925</v>
      </c>
      <c r="D822" s="61" t="s">
        <v>8</v>
      </c>
      <c r="E822" s="61" t="s">
        <v>24</v>
      </c>
      <c r="F822" s="8" t="s">
        <v>4</v>
      </c>
      <c r="G822" s="8" t="s">
        <v>116</v>
      </c>
      <c r="H822" s="8" t="s">
        <v>2</v>
      </c>
      <c r="I822" s="5" t="s">
        <v>557</v>
      </c>
      <c r="J822" s="40" t="s">
        <v>557</v>
      </c>
      <c r="K822" s="12">
        <f t="shared" si="99"/>
        <v>810.7</v>
      </c>
      <c r="L822" s="12">
        <f t="shared" si="99"/>
        <v>810.7</v>
      </c>
      <c r="M822" s="12">
        <f t="shared" si="98"/>
        <v>100</v>
      </c>
      <c r="N822" s="9"/>
    </row>
    <row r="823" spans="1:14" s="28" customFormat="1" ht="47.25" x14ac:dyDescent="0.2">
      <c r="A823" s="72"/>
      <c r="B823" s="41" t="s">
        <v>351</v>
      </c>
      <c r="C823" s="62">
        <v>925</v>
      </c>
      <c r="D823" s="61" t="s">
        <v>8</v>
      </c>
      <c r="E823" s="61" t="s">
        <v>24</v>
      </c>
      <c r="F823" s="8" t="s">
        <v>4</v>
      </c>
      <c r="G823" s="8" t="s">
        <v>116</v>
      </c>
      <c r="H823" s="8" t="s">
        <v>2</v>
      </c>
      <c r="I823" s="8" t="s">
        <v>313</v>
      </c>
      <c r="J823" s="40" t="s">
        <v>557</v>
      </c>
      <c r="K823" s="12">
        <f t="shared" si="99"/>
        <v>810.7</v>
      </c>
      <c r="L823" s="12">
        <f t="shared" si="99"/>
        <v>810.7</v>
      </c>
      <c r="M823" s="12">
        <f t="shared" si="98"/>
        <v>100</v>
      </c>
      <c r="N823" s="9"/>
    </row>
    <row r="824" spans="1:14" s="28" customFormat="1" ht="33.75" customHeight="1" x14ac:dyDescent="0.2">
      <c r="A824" s="72"/>
      <c r="B824" s="19" t="s">
        <v>454</v>
      </c>
      <c r="C824" s="62">
        <v>925</v>
      </c>
      <c r="D824" s="61" t="s">
        <v>8</v>
      </c>
      <c r="E824" s="61" t="s">
        <v>24</v>
      </c>
      <c r="F824" s="8" t="s">
        <v>4</v>
      </c>
      <c r="G824" s="8" t="s">
        <v>116</v>
      </c>
      <c r="H824" s="8" t="s">
        <v>2</v>
      </c>
      <c r="I824" s="8" t="s">
        <v>313</v>
      </c>
      <c r="J824" s="61" t="s">
        <v>57</v>
      </c>
      <c r="K824" s="12">
        <f>793.7+17</f>
        <v>810.7</v>
      </c>
      <c r="L824" s="12">
        <f>793.7+17</f>
        <v>810.7</v>
      </c>
      <c r="M824" s="12">
        <f t="shared" si="98"/>
        <v>100</v>
      </c>
      <c r="N824" s="9"/>
    </row>
    <row r="825" spans="1:14" s="28" customFormat="1" ht="35.450000000000003" customHeight="1" x14ac:dyDescent="0.2">
      <c r="A825" s="72"/>
      <c r="B825" s="44" t="s">
        <v>280</v>
      </c>
      <c r="C825" s="62">
        <v>925</v>
      </c>
      <c r="D825" s="61" t="s">
        <v>8</v>
      </c>
      <c r="E825" s="61" t="s">
        <v>24</v>
      </c>
      <c r="F825" s="8" t="s">
        <v>21</v>
      </c>
      <c r="G825" s="40" t="s">
        <v>557</v>
      </c>
      <c r="H825" s="5" t="s">
        <v>557</v>
      </c>
      <c r="I825" s="5" t="s">
        <v>557</v>
      </c>
      <c r="J825" s="40" t="s">
        <v>557</v>
      </c>
      <c r="K825" s="12">
        <f>SUM(K826)</f>
        <v>6006.2000000000007</v>
      </c>
      <c r="L825" s="12">
        <f>SUM(L826)</f>
        <v>6006.2000000000007</v>
      </c>
      <c r="M825" s="12">
        <f t="shared" si="98"/>
        <v>100</v>
      </c>
      <c r="N825" s="9"/>
    </row>
    <row r="826" spans="1:14" s="28" customFormat="1" ht="32.450000000000003" customHeight="1" x14ac:dyDescent="0.2">
      <c r="A826" s="72"/>
      <c r="B826" s="44" t="s">
        <v>195</v>
      </c>
      <c r="C826" s="62">
        <v>925</v>
      </c>
      <c r="D826" s="61" t="s">
        <v>8</v>
      </c>
      <c r="E826" s="61" t="s">
        <v>24</v>
      </c>
      <c r="F826" s="8" t="s">
        <v>21</v>
      </c>
      <c r="G826" s="63">
        <v>3</v>
      </c>
      <c r="H826" s="5" t="s">
        <v>557</v>
      </c>
      <c r="I826" s="5" t="s">
        <v>557</v>
      </c>
      <c r="J826" s="40" t="s">
        <v>557</v>
      </c>
      <c r="K826" s="12">
        <f>SUM(K827)</f>
        <v>6006.2000000000007</v>
      </c>
      <c r="L826" s="12">
        <f>SUM(L827)</f>
        <v>6006.2000000000007</v>
      </c>
      <c r="M826" s="12">
        <f t="shared" si="98"/>
        <v>100</v>
      </c>
      <c r="N826" s="9"/>
    </row>
    <row r="827" spans="1:14" s="28" customFormat="1" ht="47.25" x14ac:dyDescent="0.2">
      <c r="A827" s="72"/>
      <c r="B827" s="44" t="s">
        <v>152</v>
      </c>
      <c r="C827" s="62">
        <v>925</v>
      </c>
      <c r="D827" s="61" t="s">
        <v>8</v>
      </c>
      <c r="E827" s="61" t="s">
        <v>24</v>
      </c>
      <c r="F827" s="8" t="s">
        <v>21</v>
      </c>
      <c r="G827" s="63">
        <v>3</v>
      </c>
      <c r="H827" s="8" t="s">
        <v>2</v>
      </c>
      <c r="I827" s="5" t="s">
        <v>557</v>
      </c>
      <c r="J827" s="40" t="s">
        <v>557</v>
      </c>
      <c r="K827" s="12">
        <f>SUM(K831+K828)</f>
        <v>6006.2000000000007</v>
      </c>
      <c r="L827" s="12">
        <f>SUM(L831+L828)</f>
        <v>6006.2000000000007</v>
      </c>
      <c r="M827" s="12">
        <f t="shared" si="98"/>
        <v>100</v>
      </c>
      <c r="N827" s="9"/>
    </row>
    <row r="828" spans="1:14" s="28" customFormat="1" ht="79.5" customHeight="1" x14ac:dyDescent="0.2">
      <c r="A828" s="72"/>
      <c r="B828" s="44" t="s">
        <v>429</v>
      </c>
      <c r="C828" s="62">
        <v>925</v>
      </c>
      <c r="D828" s="61" t="s">
        <v>8</v>
      </c>
      <c r="E828" s="61" t="s">
        <v>24</v>
      </c>
      <c r="F828" s="8" t="s">
        <v>21</v>
      </c>
      <c r="G828" s="63">
        <v>3</v>
      </c>
      <c r="H828" s="8" t="s">
        <v>2</v>
      </c>
      <c r="I828" s="8" t="s">
        <v>319</v>
      </c>
      <c r="J828" s="40" t="s">
        <v>557</v>
      </c>
      <c r="K828" s="12">
        <f>K829+K830</f>
        <v>2869.1000000000004</v>
      </c>
      <c r="L828" s="12">
        <f>L829+L830</f>
        <v>2869.1000000000004</v>
      </c>
      <c r="M828" s="12">
        <f t="shared" si="98"/>
        <v>100</v>
      </c>
      <c r="N828" s="9"/>
    </row>
    <row r="829" spans="1:14" s="28" customFormat="1" ht="31.15" customHeight="1" x14ac:dyDescent="0.2">
      <c r="A829" s="72"/>
      <c r="B829" s="19" t="s">
        <v>164</v>
      </c>
      <c r="C829" s="62">
        <v>925</v>
      </c>
      <c r="D829" s="61" t="s">
        <v>8</v>
      </c>
      <c r="E829" s="61" t="s">
        <v>24</v>
      </c>
      <c r="F829" s="8" t="s">
        <v>21</v>
      </c>
      <c r="G829" s="63">
        <v>3</v>
      </c>
      <c r="H829" s="8" t="s">
        <v>2</v>
      </c>
      <c r="I829" s="8" t="s">
        <v>319</v>
      </c>
      <c r="J829" s="8" t="s">
        <v>57</v>
      </c>
      <c r="K829" s="12">
        <v>105</v>
      </c>
      <c r="L829" s="12">
        <v>105</v>
      </c>
      <c r="M829" s="12">
        <f t="shared" si="98"/>
        <v>100</v>
      </c>
      <c r="N829" s="9"/>
    </row>
    <row r="830" spans="1:14" s="28" customFormat="1" ht="34.9" customHeight="1" x14ac:dyDescent="0.2">
      <c r="A830" s="72"/>
      <c r="B830" s="19" t="s">
        <v>315</v>
      </c>
      <c r="C830" s="62">
        <v>925</v>
      </c>
      <c r="D830" s="61" t="s">
        <v>8</v>
      </c>
      <c r="E830" s="61" t="s">
        <v>24</v>
      </c>
      <c r="F830" s="8" t="s">
        <v>21</v>
      </c>
      <c r="G830" s="63">
        <v>3</v>
      </c>
      <c r="H830" s="8" t="s">
        <v>2</v>
      </c>
      <c r="I830" s="8" t="s">
        <v>319</v>
      </c>
      <c r="J830" s="8" t="s">
        <v>73</v>
      </c>
      <c r="K830" s="12">
        <f>2260.3+274.3+229.5</f>
        <v>2764.1000000000004</v>
      </c>
      <c r="L830" s="12">
        <f>2260.3+274.3+229.5</f>
        <v>2764.1000000000004</v>
      </c>
      <c r="M830" s="12">
        <f t="shared" si="98"/>
        <v>100</v>
      </c>
      <c r="N830" s="9"/>
    </row>
    <row r="831" spans="1:14" s="28" customFormat="1" ht="95.25" customHeight="1" x14ac:dyDescent="0.2">
      <c r="A831" s="72"/>
      <c r="B831" s="19" t="s">
        <v>522</v>
      </c>
      <c r="C831" s="62">
        <v>925</v>
      </c>
      <c r="D831" s="61" t="s">
        <v>8</v>
      </c>
      <c r="E831" s="61" t="s">
        <v>24</v>
      </c>
      <c r="F831" s="8" t="s">
        <v>21</v>
      </c>
      <c r="G831" s="8" t="s">
        <v>177</v>
      </c>
      <c r="H831" s="8" t="s">
        <v>2</v>
      </c>
      <c r="I831" s="8" t="s">
        <v>349</v>
      </c>
      <c r="J831" s="40" t="s">
        <v>557</v>
      </c>
      <c r="K831" s="12">
        <f>SUM(K832:K833)</f>
        <v>3137.1000000000004</v>
      </c>
      <c r="L831" s="12">
        <f>SUM(L832:L833)</f>
        <v>3137.1000000000004</v>
      </c>
      <c r="M831" s="12">
        <f t="shared" si="98"/>
        <v>100</v>
      </c>
      <c r="N831" s="9"/>
    </row>
    <row r="832" spans="1:14" s="28" customFormat="1" ht="65.25" customHeight="1" x14ac:dyDescent="0.2">
      <c r="A832" s="72"/>
      <c r="B832" s="19" t="s">
        <v>350</v>
      </c>
      <c r="C832" s="62">
        <v>925</v>
      </c>
      <c r="D832" s="61" t="s">
        <v>8</v>
      </c>
      <c r="E832" s="61" t="s">
        <v>24</v>
      </c>
      <c r="F832" s="8" t="s">
        <v>21</v>
      </c>
      <c r="G832" s="8" t="s">
        <v>177</v>
      </c>
      <c r="H832" s="8" t="s">
        <v>2</v>
      </c>
      <c r="I832" s="8" t="s">
        <v>349</v>
      </c>
      <c r="J832" s="61" t="s">
        <v>55</v>
      </c>
      <c r="K832" s="12">
        <f>44.8+2.4-2.7</f>
        <v>44.499999999999993</v>
      </c>
      <c r="L832" s="12">
        <f>44.8+2.4-2.7</f>
        <v>44.499999999999993</v>
      </c>
      <c r="M832" s="12">
        <f t="shared" si="98"/>
        <v>100</v>
      </c>
      <c r="N832" s="9"/>
    </row>
    <row r="833" spans="1:14" s="28" customFormat="1" ht="32.25" customHeight="1" x14ac:dyDescent="0.2">
      <c r="A833" s="72"/>
      <c r="B833" s="44" t="s">
        <v>162</v>
      </c>
      <c r="C833" s="62">
        <v>925</v>
      </c>
      <c r="D833" s="61" t="s">
        <v>8</v>
      </c>
      <c r="E833" s="61" t="s">
        <v>24</v>
      </c>
      <c r="F833" s="8" t="s">
        <v>21</v>
      </c>
      <c r="G833" s="8" t="s">
        <v>177</v>
      </c>
      <c r="H833" s="8" t="s">
        <v>2</v>
      </c>
      <c r="I833" s="8" t="s">
        <v>349</v>
      </c>
      <c r="J833" s="61" t="s">
        <v>73</v>
      </c>
      <c r="K833" s="12">
        <f>2990.3+158.4-56.1</f>
        <v>3092.6000000000004</v>
      </c>
      <c r="L833" s="12">
        <f>2990.3+158.4-56.1</f>
        <v>3092.6000000000004</v>
      </c>
      <c r="M833" s="12">
        <f t="shared" si="98"/>
        <v>100</v>
      </c>
      <c r="N833" s="9"/>
    </row>
    <row r="834" spans="1:14" s="28" customFormat="1" ht="47.25" x14ac:dyDescent="0.2">
      <c r="A834" s="72"/>
      <c r="B834" s="19" t="s">
        <v>465</v>
      </c>
      <c r="C834" s="62">
        <v>925</v>
      </c>
      <c r="D834" s="61" t="s">
        <v>8</v>
      </c>
      <c r="E834" s="61" t="s">
        <v>24</v>
      </c>
      <c r="F834" s="8" t="s">
        <v>88</v>
      </c>
      <c r="G834" s="40" t="s">
        <v>557</v>
      </c>
      <c r="H834" s="5" t="s">
        <v>557</v>
      </c>
      <c r="I834" s="5" t="s">
        <v>557</v>
      </c>
      <c r="J834" s="40" t="s">
        <v>557</v>
      </c>
      <c r="K834" s="12">
        <f t="shared" ref="K834:L837" si="100">K835</f>
        <v>110</v>
      </c>
      <c r="L834" s="12">
        <f t="shared" si="100"/>
        <v>110</v>
      </c>
      <c r="M834" s="12">
        <f t="shared" si="98"/>
        <v>100</v>
      </c>
      <c r="N834" s="9"/>
    </row>
    <row r="835" spans="1:14" s="28" customFormat="1" ht="50.25" customHeight="1" x14ac:dyDescent="0.2">
      <c r="A835" s="72"/>
      <c r="B835" s="19" t="s">
        <v>461</v>
      </c>
      <c r="C835" s="62">
        <v>925</v>
      </c>
      <c r="D835" s="61" t="s">
        <v>8</v>
      </c>
      <c r="E835" s="61" t="s">
        <v>24</v>
      </c>
      <c r="F835" s="8" t="s">
        <v>88</v>
      </c>
      <c r="G835" s="8" t="s">
        <v>116</v>
      </c>
      <c r="H835" s="5" t="s">
        <v>557</v>
      </c>
      <c r="I835" s="5" t="s">
        <v>557</v>
      </c>
      <c r="J835" s="40" t="s">
        <v>557</v>
      </c>
      <c r="K835" s="12">
        <f t="shared" si="100"/>
        <v>110</v>
      </c>
      <c r="L835" s="12">
        <f t="shared" si="100"/>
        <v>110</v>
      </c>
      <c r="M835" s="12">
        <f t="shared" si="98"/>
        <v>100</v>
      </c>
      <c r="N835" s="9"/>
    </row>
    <row r="836" spans="1:14" s="28" customFormat="1" ht="63" customHeight="1" x14ac:dyDescent="0.2">
      <c r="A836" s="72"/>
      <c r="B836" s="19" t="s">
        <v>462</v>
      </c>
      <c r="C836" s="62">
        <v>925</v>
      </c>
      <c r="D836" s="61" t="s">
        <v>8</v>
      </c>
      <c r="E836" s="61" t="s">
        <v>24</v>
      </c>
      <c r="F836" s="8" t="s">
        <v>88</v>
      </c>
      <c r="G836" s="8" t="s">
        <v>116</v>
      </c>
      <c r="H836" s="8" t="s">
        <v>2</v>
      </c>
      <c r="I836" s="5" t="s">
        <v>557</v>
      </c>
      <c r="J836" s="40" t="s">
        <v>557</v>
      </c>
      <c r="K836" s="12">
        <f t="shared" si="100"/>
        <v>110</v>
      </c>
      <c r="L836" s="12">
        <f t="shared" si="100"/>
        <v>110</v>
      </c>
      <c r="M836" s="12">
        <f t="shared" si="98"/>
        <v>100</v>
      </c>
      <c r="N836" s="9"/>
    </row>
    <row r="837" spans="1:14" s="28" customFormat="1" ht="110.25" x14ac:dyDescent="0.2">
      <c r="A837" s="72"/>
      <c r="B837" s="19" t="s">
        <v>463</v>
      </c>
      <c r="C837" s="62">
        <v>925</v>
      </c>
      <c r="D837" s="61" t="s">
        <v>8</v>
      </c>
      <c r="E837" s="61" t="s">
        <v>24</v>
      </c>
      <c r="F837" s="8" t="s">
        <v>88</v>
      </c>
      <c r="G837" s="8" t="s">
        <v>116</v>
      </c>
      <c r="H837" s="8" t="s">
        <v>2</v>
      </c>
      <c r="I837" s="8" t="s">
        <v>464</v>
      </c>
      <c r="J837" s="40" t="s">
        <v>557</v>
      </c>
      <c r="K837" s="12">
        <f t="shared" si="100"/>
        <v>110</v>
      </c>
      <c r="L837" s="12">
        <f t="shared" si="100"/>
        <v>110</v>
      </c>
      <c r="M837" s="12">
        <f t="shared" si="98"/>
        <v>100</v>
      </c>
      <c r="N837" s="9"/>
    </row>
    <row r="838" spans="1:14" s="28" customFormat="1" ht="31.5" x14ac:dyDescent="0.2">
      <c r="A838" s="72"/>
      <c r="B838" s="19" t="s">
        <v>164</v>
      </c>
      <c r="C838" s="62">
        <v>925</v>
      </c>
      <c r="D838" s="61" t="s">
        <v>8</v>
      </c>
      <c r="E838" s="61" t="s">
        <v>24</v>
      </c>
      <c r="F838" s="8" t="s">
        <v>88</v>
      </c>
      <c r="G838" s="8" t="s">
        <v>116</v>
      </c>
      <c r="H838" s="8" t="s">
        <v>2</v>
      </c>
      <c r="I838" s="8" t="s">
        <v>464</v>
      </c>
      <c r="J838" s="8" t="s">
        <v>57</v>
      </c>
      <c r="K838" s="12">
        <f>40+70</f>
        <v>110</v>
      </c>
      <c r="L838" s="12">
        <f>40+70</f>
        <v>110</v>
      </c>
      <c r="M838" s="12">
        <f t="shared" si="98"/>
        <v>100</v>
      </c>
      <c r="N838" s="9"/>
    </row>
    <row r="839" spans="1:14" s="28" customFormat="1" ht="21.6" customHeight="1" x14ac:dyDescent="0.2">
      <c r="A839" s="72"/>
      <c r="B839" s="19" t="s">
        <v>20</v>
      </c>
      <c r="C839" s="62">
        <v>925</v>
      </c>
      <c r="D839" s="61" t="s">
        <v>21</v>
      </c>
      <c r="E839" s="40" t="s">
        <v>557</v>
      </c>
      <c r="F839" s="5" t="s">
        <v>557</v>
      </c>
      <c r="G839" s="40" t="s">
        <v>557</v>
      </c>
      <c r="H839" s="5" t="s">
        <v>557</v>
      </c>
      <c r="I839" s="5" t="s">
        <v>557</v>
      </c>
      <c r="J839" s="40" t="s">
        <v>557</v>
      </c>
      <c r="K839" s="12">
        <f t="shared" ref="K839:L843" si="101">SUM(K840)</f>
        <v>15026.4</v>
      </c>
      <c r="L839" s="12">
        <f t="shared" si="101"/>
        <v>15026.4</v>
      </c>
      <c r="M839" s="12">
        <f t="shared" si="98"/>
        <v>100</v>
      </c>
      <c r="N839" s="9"/>
    </row>
    <row r="840" spans="1:14" s="28" customFormat="1" ht="21" customHeight="1" x14ac:dyDescent="0.2">
      <c r="A840" s="72"/>
      <c r="B840" s="19" t="s">
        <v>29</v>
      </c>
      <c r="C840" s="62">
        <v>925</v>
      </c>
      <c r="D840" s="61" t="s">
        <v>21</v>
      </c>
      <c r="E840" s="61" t="s">
        <v>6</v>
      </c>
      <c r="F840" s="5" t="s">
        <v>557</v>
      </c>
      <c r="G840" s="40" t="s">
        <v>557</v>
      </c>
      <c r="H840" s="5" t="s">
        <v>557</v>
      </c>
      <c r="I840" s="5" t="s">
        <v>557</v>
      </c>
      <c r="J840" s="40" t="s">
        <v>557</v>
      </c>
      <c r="K840" s="12">
        <f t="shared" si="101"/>
        <v>15026.4</v>
      </c>
      <c r="L840" s="12">
        <f t="shared" si="101"/>
        <v>15026.4</v>
      </c>
      <c r="M840" s="12">
        <f t="shared" si="98"/>
        <v>100</v>
      </c>
      <c r="N840" s="9"/>
    </row>
    <row r="841" spans="1:14" s="28" customFormat="1" ht="31.5" customHeight="1" x14ac:dyDescent="0.2">
      <c r="A841" s="72"/>
      <c r="B841" s="19" t="s">
        <v>198</v>
      </c>
      <c r="C841" s="62">
        <v>925</v>
      </c>
      <c r="D841" s="61" t="s">
        <v>21</v>
      </c>
      <c r="E841" s="61" t="s">
        <v>6</v>
      </c>
      <c r="F841" s="61" t="s">
        <v>2</v>
      </c>
      <c r="G841" s="40" t="s">
        <v>557</v>
      </c>
      <c r="H841" s="5" t="s">
        <v>557</v>
      </c>
      <c r="I841" s="5" t="s">
        <v>557</v>
      </c>
      <c r="J841" s="40" t="s">
        <v>557</v>
      </c>
      <c r="K841" s="12">
        <f t="shared" si="101"/>
        <v>15026.4</v>
      </c>
      <c r="L841" s="12">
        <f t="shared" si="101"/>
        <v>15026.4</v>
      </c>
      <c r="M841" s="12">
        <f t="shared" si="98"/>
        <v>100</v>
      </c>
      <c r="N841" s="9"/>
    </row>
    <row r="842" spans="1:14" s="28" customFormat="1" ht="48.75" customHeight="1" x14ac:dyDescent="0.2">
      <c r="A842" s="72"/>
      <c r="B842" s="41" t="s">
        <v>259</v>
      </c>
      <c r="C842" s="62">
        <v>925</v>
      </c>
      <c r="D842" s="61" t="s">
        <v>21</v>
      </c>
      <c r="E842" s="61" t="s">
        <v>6</v>
      </c>
      <c r="F842" s="61" t="s">
        <v>2</v>
      </c>
      <c r="G842" s="62">
        <v>1</v>
      </c>
      <c r="H842" s="5" t="s">
        <v>557</v>
      </c>
      <c r="I842" s="5" t="s">
        <v>557</v>
      </c>
      <c r="J842" s="40" t="s">
        <v>557</v>
      </c>
      <c r="K842" s="12">
        <f t="shared" si="101"/>
        <v>15026.4</v>
      </c>
      <c r="L842" s="12">
        <f t="shared" si="101"/>
        <v>15026.4</v>
      </c>
      <c r="M842" s="12">
        <f t="shared" si="98"/>
        <v>100</v>
      </c>
      <c r="N842" s="9"/>
    </row>
    <row r="843" spans="1:14" s="28" customFormat="1" ht="78.75" x14ac:dyDescent="0.2">
      <c r="A843" s="72"/>
      <c r="B843" s="41" t="s">
        <v>144</v>
      </c>
      <c r="C843" s="62">
        <v>925</v>
      </c>
      <c r="D843" s="61" t="s">
        <v>21</v>
      </c>
      <c r="E843" s="61" t="s">
        <v>6</v>
      </c>
      <c r="F843" s="61" t="s">
        <v>2</v>
      </c>
      <c r="G843" s="62">
        <v>1</v>
      </c>
      <c r="H843" s="61" t="s">
        <v>7</v>
      </c>
      <c r="I843" s="5" t="s">
        <v>557</v>
      </c>
      <c r="J843" s="40" t="s">
        <v>557</v>
      </c>
      <c r="K843" s="12">
        <f t="shared" si="101"/>
        <v>15026.4</v>
      </c>
      <c r="L843" s="12">
        <f t="shared" si="101"/>
        <v>15026.4</v>
      </c>
      <c r="M843" s="12">
        <f t="shared" si="98"/>
        <v>100</v>
      </c>
      <c r="N843" s="9"/>
    </row>
    <row r="844" spans="1:14" s="28" customFormat="1" ht="64.150000000000006" customHeight="1" x14ac:dyDescent="0.2">
      <c r="A844" s="72"/>
      <c r="B844" s="53" t="s">
        <v>323</v>
      </c>
      <c r="C844" s="62">
        <v>925</v>
      </c>
      <c r="D844" s="61" t="s">
        <v>21</v>
      </c>
      <c r="E844" s="61" t="s">
        <v>6</v>
      </c>
      <c r="F844" s="61" t="s">
        <v>2</v>
      </c>
      <c r="G844" s="62">
        <v>1</v>
      </c>
      <c r="H844" s="61" t="s">
        <v>7</v>
      </c>
      <c r="I844" s="61" t="s">
        <v>154</v>
      </c>
      <c r="J844" s="40" t="s">
        <v>557</v>
      </c>
      <c r="K844" s="12">
        <f>SUM(K845:K846)</f>
        <v>15026.4</v>
      </c>
      <c r="L844" s="12">
        <f>SUM(L845:L846)</f>
        <v>15026.4</v>
      </c>
      <c r="M844" s="12">
        <f t="shared" si="98"/>
        <v>100</v>
      </c>
      <c r="N844" s="9"/>
    </row>
    <row r="845" spans="1:14" s="28" customFormat="1" ht="34.9" customHeight="1" x14ac:dyDescent="0.2">
      <c r="A845" s="72"/>
      <c r="B845" s="19" t="s">
        <v>164</v>
      </c>
      <c r="C845" s="62">
        <v>925</v>
      </c>
      <c r="D845" s="61" t="s">
        <v>21</v>
      </c>
      <c r="E845" s="61" t="s">
        <v>6</v>
      </c>
      <c r="F845" s="61" t="s">
        <v>2</v>
      </c>
      <c r="G845" s="62">
        <v>1</v>
      </c>
      <c r="H845" s="61" t="s">
        <v>7</v>
      </c>
      <c r="I845" s="61" t="s">
        <v>154</v>
      </c>
      <c r="J845" s="61" t="s">
        <v>57</v>
      </c>
      <c r="K845" s="12">
        <f>158.8-0.7</f>
        <v>158.10000000000002</v>
      </c>
      <c r="L845" s="12">
        <f>158.8-0.7</f>
        <v>158.10000000000002</v>
      </c>
      <c r="M845" s="12">
        <f t="shared" si="98"/>
        <v>100</v>
      </c>
      <c r="N845" s="9"/>
    </row>
    <row r="846" spans="1:14" s="28" customFormat="1" ht="15" customHeight="1" x14ac:dyDescent="0.2">
      <c r="A846" s="69"/>
      <c r="B846" s="19" t="s">
        <v>65</v>
      </c>
      <c r="C846" s="62">
        <v>925</v>
      </c>
      <c r="D846" s="61" t="s">
        <v>21</v>
      </c>
      <c r="E846" s="61" t="s">
        <v>6</v>
      </c>
      <c r="F846" s="61" t="s">
        <v>2</v>
      </c>
      <c r="G846" s="62">
        <v>1</v>
      </c>
      <c r="H846" s="61" t="s">
        <v>7</v>
      </c>
      <c r="I846" s="61" t="s">
        <v>154</v>
      </c>
      <c r="J846" s="61" t="s">
        <v>66</v>
      </c>
      <c r="K846" s="12">
        <f>15808.3-940</f>
        <v>14868.3</v>
      </c>
      <c r="L846" s="12">
        <f>15808.3-940</f>
        <v>14868.3</v>
      </c>
      <c r="M846" s="12">
        <f t="shared" si="98"/>
        <v>100</v>
      </c>
      <c r="N846" s="9"/>
    </row>
    <row r="847" spans="1:14" s="28" customFormat="1" ht="33" customHeight="1" x14ac:dyDescent="0.2">
      <c r="A847" s="64">
        <v>10</v>
      </c>
      <c r="B847" s="19" t="s">
        <v>311</v>
      </c>
      <c r="C847" s="62">
        <v>926</v>
      </c>
      <c r="D847" s="40" t="s">
        <v>557</v>
      </c>
      <c r="E847" s="40" t="s">
        <v>557</v>
      </c>
      <c r="F847" s="5" t="s">
        <v>557</v>
      </c>
      <c r="G847" s="40" t="s">
        <v>557</v>
      </c>
      <c r="H847" s="5" t="s">
        <v>557</v>
      </c>
      <c r="I847" s="5" t="s">
        <v>557</v>
      </c>
      <c r="J847" s="40" t="s">
        <v>557</v>
      </c>
      <c r="K847" s="12">
        <f>SUM(K848+K859+K866+K909)</f>
        <v>168529.9</v>
      </c>
      <c r="L847" s="12">
        <f>SUM(L848+L859+L866+L909)</f>
        <v>167015.60000000003</v>
      </c>
      <c r="M847" s="12">
        <f t="shared" si="98"/>
        <v>99.101465081270462</v>
      </c>
      <c r="N847" s="9"/>
    </row>
    <row r="848" spans="1:14" s="28" customFormat="1" ht="20.25" customHeight="1" x14ac:dyDescent="0.2">
      <c r="A848" s="64"/>
      <c r="B848" s="19" t="s">
        <v>1</v>
      </c>
      <c r="C848" s="62">
        <v>926</v>
      </c>
      <c r="D848" s="8" t="s">
        <v>2</v>
      </c>
      <c r="E848" s="40" t="s">
        <v>557</v>
      </c>
      <c r="F848" s="5" t="s">
        <v>557</v>
      </c>
      <c r="G848" s="40" t="s">
        <v>557</v>
      </c>
      <c r="H848" s="5" t="s">
        <v>557</v>
      </c>
      <c r="I848" s="5" t="s">
        <v>557</v>
      </c>
      <c r="J848" s="40" t="s">
        <v>557</v>
      </c>
      <c r="K848" s="12">
        <f>SUM(K849)</f>
        <v>1101.4000000000001</v>
      </c>
      <c r="L848" s="12">
        <f>SUM(L849)</f>
        <v>844.1</v>
      </c>
      <c r="M848" s="12">
        <f t="shared" si="98"/>
        <v>76.638823315779916</v>
      </c>
      <c r="N848" s="9"/>
    </row>
    <row r="849" spans="1:14" s="28" customFormat="1" ht="16.149999999999999" customHeight="1" x14ac:dyDescent="0.2">
      <c r="A849" s="64"/>
      <c r="B849" s="19" t="s">
        <v>9</v>
      </c>
      <c r="C849" s="62">
        <v>926</v>
      </c>
      <c r="D849" s="8" t="s">
        <v>2</v>
      </c>
      <c r="E849" s="8" t="s">
        <v>41</v>
      </c>
      <c r="F849" s="5" t="s">
        <v>557</v>
      </c>
      <c r="G849" s="40" t="s">
        <v>557</v>
      </c>
      <c r="H849" s="5" t="s">
        <v>557</v>
      </c>
      <c r="I849" s="5" t="s">
        <v>557</v>
      </c>
      <c r="J849" s="40" t="s">
        <v>557</v>
      </c>
      <c r="K849" s="12">
        <f>K850</f>
        <v>1101.4000000000001</v>
      </c>
      <c r="L849" s="12">
        <f>L850</f>
        <v>844.1</v>
      </c>
      <c r="M849" s="12">
        <f t="shared" si="98"/>
        <v>76.638823315779916</v>
      </c>
      <c r="N849" s="9"/>
    </row>
    <row r="850" spans="1:14" s="28" customFormat="1" ht="48.75" customHeight="1" x14ac:dyDescent="0.2">
      <c r="A850" s="64"/>
      <c r="B850" s="19" t="s">
        <v>276</v>
      </c>
      <c r="C850" s="62">
        <v>926</v>
      </c>
      <c r="D850" s="8" t="s">
        <v>2</v>
      </c>
      <c r="E850" s="8" t="s">
        <v>41</v>
      </c>
      <c r="F850" s="8" t="s">
        <v>173</v>
      </c>
      <c r="G850" s="40" t="s">
        <v>557</v>
      </c>
      <c r="H850" s="5" t="s">
        <v>557</v>
      </c>
      <c r="I850" s="5" t="s">
        <v>557</v>
      </c>
      <c r="J850" s="40" t="s">
        <v>557</v>
      </c>
      <c r="K850" s="12">
        <f>K851</f>
        <v>1101.4000000000001</v>
      </c>
      <c r="L850" s="12">
        <f>L851</f>
        <v>844.1</v>
      </c>
      <c r="M850" s="12">
        <f t="shared" si="98"/>
        <v>76.638823315779916</v>
      </c>
      <c r="N850" s="9"/>
    </row>
    <row r="851" spans="1:14" s="28" customFormat="1" ht="49.15" customHeight="1" x14ac:dyDescent="0.2">
      <c r="A851" s="64"/>
      <c r="B851" s="19" t="s">
        <v>277</v>
      </c>
      <c r="C851" s="62">
        <v>926</v>
      </c>
      <c r="D851" s="8" t="s">
        <v>2</v>
      </c>
      <c r="E851" s="8" t="s">
        <v>41</v>
      </c>
      <c r="F851" s="8" t="s">
        <v>173</v>
      </c>
      <c r="G851" s="8" t="s">
        <v>116</v>
      </c>
      <c r="H851" s="5" t="s">
        <v>557</v>
      </c>
      <c r="I851" s="5" t="s">
        <v>557</v>
      </c>
      <c r="J851" s="40" t="s">
        <v>557</v>
      </c>
      <c r="K851" s="12">
        <f>K852+K855</f>
        <v>1101.4000000000001</v>
      </c>
      <c r="L851" s="12">
        <f>L852+L855</f>
        <v>844.1</v>
      </c>
      <c r="M851" s="12">
        <f t="shared" si="98"/>
        <v>76.638823315779916</v>
      </c>
      <c r="N851" s="9"/>
    </row>
    <row r="852" spans="1:14" s="28" customFormat="1" ht="31.5" customHeight="1" x14ac:dyDescent="0.2">
      <c r="A852" s="64"/>
      <c r="B852" s="19" t="s">
        <v>285</v>
      </c>
      <c r="C852" s="62">
        <v>926</v>
      </c>
      <c r="D852" s="8" t="s">
        <v>2</v>
      </c>
      <c r="E852" s="8" t="s">
        <v>41</v>
      </c>
      <c r="F852" s="8" t="s">
        <v>173</v>
      </c>
      <c r="G852" s="8" t="s">
        <v>116</v>
      </c>
      <c r="H852" s="8" t="s">
        <v>6</v>
      </c>
      <c r="I852" s="5" t="s">
        <v>557</v>
      </c>
      <c r="J852" s="40" t="s">
        <v>557</v>
      </c>
      <c r="K852" s="12">
        <f>K853</f>
        <v>766.4</v>
      </c>
      <c r="L852" s="12">
        <f>L853</f>
        <v>509.1</v>
      </c>
      <c r="M852" s="12">
        <f t="shared" si="98"/>
        <v>66.427453027139876</v>
      </c>
      <c r="N852" s="9"/>
    </row>
    <row r="853" spans="1:14" s="28" customFormat="1" ht="35.25" customHeight="1" x14ac:dyDescent="0.2">
      <c r="A853" s="64"/>
      <c r="B853" s="19" t="s">
        <v>286</v>
      </c>
      <c r="C853" s="62">
        <v>926</v>
      </c>
      <c r="D853" s="8" t="s">
        <v>2</v>
      </c>
      <c r="E853" s="8" t="s">
        <v>41</v>
      </c>
      <c r="F853" s="8" t="s">
        <v>173</v>
      </c>
      <c r="G853" s="8" t="s">
        <v>116</v>
      </c>
      <c r="H853" s="8" t="s">
        <v>6</v>
      </c>
      <c r="I853" s="8" t="s">
        <v>284</v>
      </c>
      <c r="J853" s="40" t="s">
        <v>557</v>
      </c>
      <c r="K853" s="12">
        <f>K854</f>
        <v>766.4</v>
      </c>
      <c r="L853" s="12">
        <f>L854</f>
        <v>509.1</v>
      </c>
      <c r="M853" s="12">
        <f t="shared" si="98"/>
        <v>66.427453027139876</v>
      </c>
      <c r="N853" s="9"/>
    </row>
    <row r="854" spans="1:14" s="28" customFormat="1" ht="31.5" customHeight="1" x14ac:dyDescent="0.2">
      <c r="A854" s="64"/>
      <c r="B854" s="19" t="s">
        <v>164</v>
      </c>
      <c r="C854" s="62">
        <v>926</v>
      </c>
      <c r="D854" s="8" t="s">
        <v>2</v>
      </c>
      <c r="E854" s="8" t="s">
        <v>41</v>
      </c>
      <c r="F854" s="8" t="s">
        <v>173</v>
      </c>
      <c r="G854" s="8" t="s">
        <v>116</v>
      </c>
      <c r="H854" s="8" t="s">
        <v>6</v>
      </c>
      <c r="I854" s="8" t="s">
        <v>284</v>
      </c>
      <c r="J854" s="8" t="s">
        <v>57</v>
      </c>
      <c r="K854" s="12">
        <f>823.5-57.1</f>
        <v>766.4</v>
      </c>
      <c r="L854" s="12">
        <v>509.1</v>
      </c>
      <c r="M854" s="12">
        <f t="shared" si="98"/>
        <v>66.427453027139876</v>
      </c>
      <c r="N854" s="9"/>
    </row>
    <row r="855" spans="1:14" s="28" customFormat="1" ht="61.5" customHeight="1" x14ac:dyDescent="0.2">
      <c r="A855" s="64"/>
      <c r="B855" s="19" t="s">
        <v>471</v>
      </c>
      <c r="C855" s="62">
        <v>926</v>
      </c>
      <c r="D855" s="8" t="s">
        <v>2</v>
      </c>
      <c r="E855" s="8" t="s">
        <v>41</v>
      </c>
      <c r="F855" s="8" t="s">
        <v>173</v>
      </c>
      <c r="G855" s="8" t="s">
        <v>116</v>
      </c>
      <c r="H855" s="8" t="s">
        <v>7</v>
      </c>
      <c r="I855" s="5" t="s">
        <v>557</v>
      </c>
      <c r="J855" s="40" t="s">
        <v>557</v>
      </c>
      <c r="K855" s="12">
        <f>K856</f>
        <v>335</v>
      </c>
      <c r="L855" s="12">
        <f>L856</f>
        <v>335</v>
      </c>
      <c r="M855" s="12">
        <f t="shared" si="98"/>
        <v>100</v>
      </c>
      <c r="N855" s="9"/>
    </row>
    <row r="856" spans="1:14" s="28" customFormat="1" ht="33" customHeight="1" x14ac:dyDescent="0.2">
      <c r="A856" s="64"/>
      <c r="B856" s="44" t="s">
        <v>377</v>
      </c>
      <c r="C856" s="62">
        <v>926</v>
      </c>
      <c r="D856" s="8" t="s">
        <v>2</v>
      </c>
      <c r="E856" s="8" t="s">
        <v>41</v>
      </c>
      <c r="F856" s="8" t="s">
        <v>173</v>
      </c>
      <c r="G856" s="8" t="s">
        <v>116</v>
      </c>
      <c r="H856" s="8" t="s">
        <v>7</v>
      </c>
      <c r="I856" s="8" t="s">
        <v>376</v>
      </c>
      <c r="J856" s="40" t="s">
        <v>557</v>
      </c>
      <c r="K856" s="12">
        <f>K857+K858</f>
        <v>335</v>
      </c>
      <c r="L856" s="12">
        <f>L857+L858</f>
        <v>335</v>
      </c>
      <c r="M856" s="12">
        <f t="shared" si="98"/>
        <v>100</v>
      </c>
      <c r="N856" s="9"/>
    </row>
    <row r="857" spans="1:14" s="28" customFormat="1" ht="49.9" customHeight="1" x14ac:dyDescent="0.2">
      <c r="A857" s="64"/>
      <c r="B857" s="44" t="s">
        <v>350</v>
      </c>
      <c r="C857" s="62">
        <v>926</v>
      </c>
      <c r="D857" s="8" t="s">
        <v>2</v>
      </c>
      <c r="E857" s="8" t="s">
        <v>41</v>
      </c>
      <c r="F857" s="8" t="s">
        <v>173</v>
      </c>
      <c r="G857" s="8" t="s">
        <v>116</v>
      </c>
      <c r="H857" s="8" t="s">
        <v>7</v>
      </c>
      <c r="I857" s="8" t="s">
        <v>376</v>
      </c>
      <c r="J857" s="8" t="s">
        <v>55</v>
      </c>
      <c r="K857" s="12">
        <v>54.1</v>
      </c>
      <c r="L857" s="12">
        <v>54.1</v>
      </c>
      <c r="M857" s="12">
        <f t="shared" si="98"/>
        <v>100</v>
      </c>
      <c r="N857" s="9"/>
    </row>
    <row r="858" spans="1:14" s="28" customFormat="1" ht="32.25" customHeight="1" x14ac:dyDescent="0.2">
      <c r="A858" s="64"/>
      <c r="B858" s="19" t="s">
        <v>164</v>
      </c>
      <c r="C858" s="62">
        <v>926</v>
      </c>
      <c r="D858" s="8" t="s">
        <v>2</v>
      </c>
      <c r="E858" s="8" t="s">
        <v>41</v>
      </c>
      <c r="F858" s="8" t="s">
        <v>173</v>
      </c>
      <c r="G858" s="8" t="s">
        <v>116</v>
      </c>
      <c r="H858" s="8" t="s">
        <v>7</v>
      </c>
      <c r="I858" s="8" t="s">
        <v>376</v>
      </c>
      <c r="J858" s="8" t="s">
        <v>57</v>
      </c>
      <c r="K858" s="12">
        <f>401.1-54.1-66.1</f>
        <v>280.89999999999998</v>
      </c>
      <c r="L858" s="12">
        <f>401.1-54.1-66.1</f>
        <v>280.89999999999998</v>
      </c>
      <c r="M858" s="12">
        <f t="shared" si="98"/>
        <v>100</v>
      </c>
      <c r="N858" s="9"/>
    </row>
    <row r="859" spans="1:14" s="28" customFormat="1" ht="16.899999999999999" customHeight="1" x14ac:dyDescent="0.2">
      <c r="A859" s="64"/>
      <c r="B859" s="19" t="s">
        <v>14</v>
      </c>
      <c r="C859" s="62">
        <v>926</v>
      </c>
      <c r="D859" s="61" t="s">
        <v>5</v>
      </c>
      <c r="E859" s="40" t="s">
        <v>557</v>
      </c>
      <c r="F859" s="5" t="s">
        <v>557</v>
      </c>
      <c r="G859" s="40" t="s">
        <v>557</v>
      </c>
      <c r="H859" s="5" t="s">
        <v>557</v>
      </c>
      <c r="I859" s="5" t="s">
        <v>557</v>
      </c>
      <c r="J859" s="40" t="s">
        <v>557</v>
      </c>
      <c r="K859" s="12">
        <f t="shared" ref="K859:L864" si="102">K860</f>
        <v>30</v>
      </c>
      <c r="L859" s="12">
        <f t="shared" si="102"/>
        <v>30</v>
      </c>
      <c r="M859" s="12">
        <f t="shared" si="98"/>
        <v>100</v>
      </c>
      <c r="N859" s="9"/>
    </row>
    <row r="860" spans="1:14" s="28" customFormat="1" ht="34.15" customHeight="1" x14ac:dyDescent="0.2">
      <c r="A860" s="64"/>
      <c r="B860" s="19" t="s">
        <v>178</v>
      </c>
      <c r="C860" s="62">
        <v>926</v>
      </c>
      <c r="D860" s="61" t="s">
        <v>5</v>
      </c>
      <c r="E860" s="8" t="s">
        <v>10</v>
      </c>
      <c r="F860" s="5" t="s">
        <v>557</v>
      </c>
      <c r="G860" s="40" t="s">
        <v>557</v>
      </c>
      <c r="H860" s="5" t="s">
        <v>557</v>
      </c>
      <c r="I860" s="5" t="s">
        <v>557</v>
      </c>
      <c r="J860" s="40" t="s">
        <v>557</v>
      </c>
      <c r="K860" s="12">
        <f t="shared" si="102"/>
        <v>30</v>
      </c>
      <c r="L860" s="12">
        <f t="shared" si="102"/>
        <v>30</v>
      </c>
      <c r="M860" s="12">
        <f t="shared" si="98"/>
        <v>100</v>
      </c>
      <c r="N860" s="9"/>
    </row>
    <row r="861" spans="1:14" s="28" customFormat="1" ht="34.15" customHeight="1" x14ac:dyDescent="0.2">
      <c r="A861" s="64"/>
      <c r="B861" s="41" t="s">
        <v>236</v>
      </c>
      <c r="C861" s="62">
        <v>926</v>
      </c>
      <c r="D861" s="8" t="s">
        <v>5</v>
      </c>
      <c r="E861" s="8" t="s">
        <v>10</v>
      </c>
      <c r="F861" s="8" t="s">
        <v>106</v>
      </c>
      <c r="G861" s="40" t="s">
        <v>557</v>
      </c>
      <c r="H861" s="5" t="s">
        <v>557</v>
      </c>
      <c r="I861" s="5" t="s">
        <v>557</v>
      </c>
      <c r="J861" s="40" t="s">
        <v>557</v>
      </c>
      <c r="K861" s="12">
        <f t="shared" si="102"/>
        <v>30</v>
      </c>
      <c r="L861" s="12">
        <f t="shared" si="102"/>
        <v>30</v>
      </c>
      <c r="M861" s="12">
        <f t="shared" ref="M861:M919" si="103">SUM(L861/K861*100)</f>
        <v>100</v>
      </c>
      <c r="N861" s="9"/>
    </row>
    <row r="862" spans="1:14" s="28" customFormat="1" ht="48.6" customHeight="1" x14ac:dyDescent="0.2">
      <c r="A862" s="64"/>
      <c r="B862" s="41" t="s">
        <v>237</v>
      </c>
      <c r="C862" s="62">
        <v>926</v>
      </c>
      <c r="D862" s="8" t="s">
        <v>5</v>
      </c>
      <c r="E862" s="8" t="s">
        <v>10</v>
      </c>
      <c r="F862" s="8" t="s">
        <v>106</v>
      </c>
      <c r="G862" s="8" t="s">
        <v>156</v>
      </c>
      <c r="H862" s="5" t="s">
        <v>557</v>
      </c>
      <c r="I862" s="5" t="s">
        <v>557</v>
      </c>
      <c r="J862" s="40" t="s">
        <v>557</v>
      </c>
      <c r="K862" s="12">
        <f t="shared" si="102"/>
        <v>30</v>
      </c>
      <c r="L862" s="12">
        <f t="shared" si="102"/>
        <v>30</v>
      </c>
      <c r="M862" s="12">
        <f t="shared" si="103"/>
        <v>100</v>
      </c>
      <c r="N862" s="9"/>
    </row>
    <row r="863" spans="1:14" s="28" customFormat="1" ht="48.75" customHeight="1" x14ac:dyDescent="0.2">
      <c r="A863" s="64"/>
      <c r="B863" s="41" t="s">
        <v>179</v>
      </c>
      <c r="C863" s="62">
        <v>926</v>
      </c>
      <c r="D863" s="8" t="s">
        <v>5</v>
      </c>
      <c r="E863" s="8" t="s">
        <v>10</v>
      </c>
      <c r="F863" s="8" t="s">
        <v>106</v>
      </c>
      <c r="G863" s="8" t="s">
        <v>156</v>
      </c>
      <c r="H863" s="8" t="s">
        <v>2</v>
      </c>
      <c r="I863" s="5" t="s">
        <v>557</v>
      </c>
      <c r="J863" s="40" t="s">
        <v>557</v>
      </c>
      <c r="K863" s="12">
        <f t="shared" si="102"/>
        <v>30</v>
      </c>
      <c r="L863" s="12">
        <f t="shared" si="102"/>
        <v>30</v>
      </c>
      <c r="M863" s="12">
        <f t="shared" si="103"/>
        <v>100</v>
      </c>
      <c r="N863" s="9"/>
    </row>
    <row r="864" spans="1:14" s="28" customFormat="1" ht="34.9" customHeight="1" x14ac:dyDescent="0.2">
      <c r="A864" s="64"/>
      <c r="B864" s="41" t="s">
        <v>181</v>
      </c>
      <c r="C864" s="62">
        <v>926</v>
      </c>
      <c r="D864" s="8" t="s">
        <v>5</v>
      </c>
      <c r="E864" s="8" t="s">
        <v>10</v>
      </c>
      <c r="F864" s="8" t="s">
        <v>106</v>
      </c>
      <c r="G864" s="8" t="s">
        <v>156</v>
      </c>
      <c r="H864" s="8" t="s">
        <v>2</v>
      </c>
      <c r="I864" s="8" t="s">
        <v>184</v>
      </c>
      <c r="J864" s="40" t="s">
        <v>557</v>
      </c>
      <c r="K864" s="12">
        <f t="shared" si="102"/>
        <v>30</v>
      </c>
      <c r="L864" s="12">
        <f t="shared" si="102"/>
        <v>30</v>
      </c>
      <c r="M864" s="12">
        <f t="shared" si="103"/>
        <v>100</v>
      </c>
      <c r="N864" s="9"/>
    </row>
    <row r="865" spans="1:14" s="28" customFormat="1" ht="33.6" customHeight="1" x14ac:dyDescent="0.2">
      <c r="A865" s="64"/>
      <c r="B865" s="19" t="s">
        <v>164</v>
      </c>
      <c r="C865" s="62">
        <v>926</v>
      </c>
      <c r="D865" s="8" t="s">
        <v>5</v>
      </c>
      <c r="E865" s="8" t="s">
        <v>10</v>
      </c>
      <c r="F865" s="8" t="s">
        <v>106</v>
      </c>
      <c r="G865" s="8" t="s">
        <v>156</v>
      </c>
      <c r="H865" s="8" t="s">
        <v>2</v>
      </c>
      <c r="I865" s="8" t="s">
        <v>184</v>
      </c>
      <c r="J865" s="61" t="s">
        <v>57</v>
      </c>
      <c r="K865" s="12">
        <v>30</v>
      </c>
      <c r="L865" s="12">
        <v>30</v>
      </c>
      <c r="M865" s="12">
        <f t="shared" si="103"/>
        <v>100</v>
      </c>
      <c r="N865" s="9"/>
    </row>
    <row r="866" spans="1:14" s="28" customFormat="1" ht="19.149999999999999" customHeight="1" x14ac:dyDescent="0.2">
      <c r="A866" s="64"/>
      <c r="B866" s="19" t="s">
        <v>18</v>
      </c>
      <c r="C866" s="62">
        <v>926</v>
      </c>
      <c r="D866" s="8" t="s">
        <v>8</v>
      </c>
      <c r="E866" s="40" t="s">
        <v>557</v>
      </c>
      <c r="F866" s="5" t="s">
        <v>557</v>
      </c>
      <c r="G866" s="40" t="s">
        <v>557</v>
      </c>
      <c r="H866" s="5" t="s">
        <v>557</v>
      </c>
      <c r="I866" s="5" t="s">
        <v>557</v>
      </c>
      <c r="J866" s="40" t="s">
        <v>557</v>
      </c>
      <c r="K866" s="12">
        <f>SUM(K867+K903)</f>
        <v>141693.70000000001</v>
      </c>
      <c r="L866" s="12">
        <f>SUM(L867+L903)</f>
        <v>141452.80000000002</v>
      </c>
      <c r="M866" s="12">
        <f t="shared" si="103"/>
        <v>99.829985383965564</v>
      </c>
      <c r="N866" s="9"/>
    </row>
    <row r="867" spans="1:14" s="28" customFormat="1" ht="19.899999999999999" customHeight="1" x14ac:dyDescent="0.2">
      <c r="A867" s="64"/>
      <c r="B867" s="19" t="s">
        <v>199</v>
      </c>
      <c r="C867" s="62">
        <v>926</v>
      </c>
      <c r="D867" s="61" t="s">
        <v>8</v>
      </c>
      <c r="E867" s="61" t="s">
        <v>5</v>
      </c>
      <c r="F867" s="5" t="s">
        <v>557</v>
      </c>
      <c r="G867" s="40" t="s">
        <v>557</v>
      </c>
      <c r="H867" s="5" t="s">
        <v>557</v>
      </c>
      <c r="I867" s="5" t="s">
        <v>557</v>
      </c>
      <c r="J867" s="40" t="s">
        <v>557</v>
      </c>
      <c r="K867" s="12">
        <f>SUM(K868+K873+K894)</f>
        <v>141677.40000000002</v>
      </c>
      <c r="L867" s="12">
        <f>SUM(L868+L873+L894)</f>
        <v>141439.30000000002</v>
      </c>
      <c r="M867" s="12">
        <f t="shared" si="103"/>
        <v>99.831942144618694</v>
      </c>
      <c r="N867" s="9"/>
    </row>
    <row r="868" spans="1:14" s="28" customFormat="1" ht="33.75" customHeight="1" x14ac:dyDescent="0.2">
      <c r="A868" s="64"/>
      <c r="B868" s="41" t="s">
        <v>314</v>
      </c>
      <c r="C868" s="62">
        <v>926</v>
      </c>
      <c r="D868" s="61" t="s">
        <v>8</v>
      </c>
      <c r="E868" s="61" t="s">
        <v>5</v>
      </c>
      <c r="F868" s="8" t="s">
        <v>4</v>
      </c>
      <c r="G868" s="40" t="s">
        <v>557</v>
      </c>
      <c r="H868" s="5" t="s">
        <v>557</v>
      </c>
      <c r="I868" s="5" t="s">
        <v>557</v>
      </c>
      <c r="J868" s="40" t="s">
        <v>557</v>
      </c>
      <c r="K868" s="12">
        <f t="shared" ref="K868:L871" si="104">K869</f>
        <v>836.5</v>
      </c>
      <c r="L868" s="12">
        <f t="shared" si="104"/>
        <v>836.5</v>
      </c>
      <c r="M868" s="12">
        <f t="shared" si="103"/>
        <v>100</v>
      </c>
      <c r="N868" s="9"/>
    </row>
    <row r="869" spans="1:14" s="28" customFormat="1" ht="31.5" customHeight="1" x14ac:dyDescent="0.2">
      <c r="A869" s="64"/>
      <c r="B869" s="41" t="s">
        <v>136</v>
      </c>
      <c r="C869" s="62">
        <v>926</v>
      </c>
      <c r="D869" s="61" t="s">
        <v>8</v>
      </c>
      <c r="E869" s="61" t="s">
        <v>5</v>
      </c>
      <c r="F869" s="8" t="s">
        <v>4</v>
      </c>
      <c r="G869" s="8" t="s">
        <v>116</v>
      </c>
      <c r="H869" s="5" t="s">
        <v>557</v>
      </c>
      <c r="I869" s="5" t="s">
        <v>557</v>
      </c>
      <c r="J869" s="40" t="s">
        <v>557</v>
      </c>
      <c r="K869" s="12">
        <f t="shared" si="104"/>
        <v>836.5</v>
      </c>
      <c r="L869" s="12">
        <f t="shared" si="104"/>
        <v>836.5</v>
      </c>
      <c r="M869" s="12">
        <f t="shared" si="103"/>
        <v>100</v>
      </c>
      <c r="N869" s="9"/>
    </row>
    <row r="870" spans="1:14" s="28" customFormat="1" ht="45.75" customHeight="1" x14ac:dyDescent="0.2">
      <c r="A870" s="64"/>
      <c r="B870" s="41" t="s">
        <v>137</v>
      </c>
      <c r="C870" s="62">
        <v>926</v>
      </c>
      <c r="D870" s="61" t="s">
        <v>8</v>
      </c>
      <c r="E870" s="61" t="s">
        <v>5</v>
      </c>
      <c r="F870" s="8" t="s">
        <v>4</v>
      </c>
      <c r="G870" s="8" t="s">
        <v>116</v>
      </c>
      <c r="H870" s="8" t="s">
        <v>2</v>
      </c>
      <c r="I870" s="5" t="s">
        <v>557</v>
      </c>
      <c r="J870" s="40" t="s">
        <v>557</v>
      </c>
      <c r="K870" s="12">
        <f t="shared" si="104"/>
        <v>836.5</v>
      </c>
      <c r="L870" s="12">
        <f t="shared" si="104"/>
        <v>836.5</v>
      </c>
      <c r="M870" s="12">
        <f t="shared" si="103"/>
        <v>100</v>
      </c>
      <c r="N870" s="9"/>
    </row>
    <row r="871" spans="1:14" s="28" customFormat="1" ht="33.75" customHeight="1" x14ac:dyDescent="0.2">
      <c r="A871" s="64"/>
      <c r="B871" s="41" t="s">
        <v>351</v>
      </c>
      <c r="C871" s="62">
        <v>926</v>
      </c>
      <c r="D871" s="61" t="s">
        <v>8</v>
      </c>
      <c r="E871" s="61" t="s">
        <v>5</v>
      </c>
      <c r="F871" s="8" t="s">
        <v>4</v>
      </c>
      <c r="G871" s="8" t="s">
        <v>116</v>
      </c>
      <c r="H871" s="8" t="s">
        <v>2</v>
      </c>
      <c r="I871" s="8" t="s">
        <v>313</v>
      </c>
      <c r="J871" s="40" t="s">
        <v>557</v>
      </c>
      <c r="K871" s="12">
        <f t="shared" si="104"/>
        <v>836.5</v>
      </c>
      <c r="L871" s="12">
        <f t="shared" si="104"/>
        <v>836.5</v>
      </c>
      <c r="M871" s="12">
        <f t="shared" si="103"/>
        <v>100</v>
      </c>
      <c r="N871" s="9"/>
    </row>
    <row r="872" spans="1:14" s="28" customFormat="1" ht="33.75" customHeight="1" x14ac:dyDescent="0.2">
      <c r="A872" s="64"/>
      <c r="B872" s="44" t="s">
        <v>72</v>
      </c>
      <c r="C872" s="62">
        <v>926</v>
      </c>
      <c r="D872" s="61" t="s">
        <v>8</v>
      </c>
      <c r="E872" s="61" t="s">
        <v>5</v>
      </c>
      <c r="F872" s="8" t="s">
        <v>4</v>
      </c>
      <c r="G872" s="8" t="s">
        <v>116</v>
      </c>
      <c r="H872" s="8" t="s">
        <v>2</v>
      </c>
      <c r="I872" s="8" t="s">
        <v>313</v>
      </c>
      <c r="J872" s="61" t="s">
        <v>73</v>
      </c>
      <c r="K872" s="12">
        <f>253.5+559.8+23.2</f>
        <v>836.5</v>
      </c>
      <c r="L872" s="12">
        <f>253.5+559.8+23.2</f>
        <v>836.5</v>
      </c>
      <c r="M872" s="12">
        <f t="shared" si="103"/>
        <v>100</v>
      </c>
      <c r="N872" s="9"/>
    </row>
    <row r="873" spans="1:14" s="28" customFormat="1" ht="31.5" x14ac:dyDescent="0.2">
      <c r="A873" s="64"/>
      <c r="B873" s="41" t="s">
        <v>262</v>
      </c>
      <c r="C873" s="62">
        <v>926</v>
      </c>
      <c r="D873" s="61" t="s">
        <v>8</v>
      </c>
      <c r="E873" s="61" t="s">
        <v>5</v>
      </c>
      <c r="F873" s="61" t="s">
        <v>6</v>
      </c>
      <c r="G873" s="40" t="s">
        <v>557</v>
      </c>
      <c r="H873" s="5" t="s">
        <v>557</v>
      </c>
      <c r="I873" s="5" t="s">
        <v>557</v>
      </c>
      <c r="J873" s="40" t="s">
        <v>557</v>
      </c>
      <c r="K873" s="12">
        <f>SUM(K874+K880+K888)</f>
        <v>133050.80000000002</v>
      </c>
      <c r="L873" s="12">
        <f>SUM(L874+L880+L888)</f>
        <v>132906.40000000002</v>
      </c>
      <c r="M873" s="12">
        <f t="shared" si="103"/>
        <v>99.891470024982937</v>
      </c>
      <c r="N873" s="9"/>
    </row>
    <row r="874" spans="1:14" s="28" customFormat="1" ht="35.25" customHeight="1" x14ac:dyDescent="0.2">
      <c r="A874" s="64"/>
      <c r="B874" s="41" t="s">
        <v>263</v>
      </c>
      <c r="C874" s="62">
        <v>926</v>
      </c>
      <c r="D874" s="61" t="s">
        <v>8</v>
      </c>
      <c r="E874" s="61" t="s">
        <v>5</v>
      </c>
      <c r="F874" s="61" t="s">
        <v>6</v>
      </c>
      <c r="G874" s="62">
        <v>1</v>
      </c>
      <c r="H874" s="5" t="s">
        <v>557</v>
      </c>
      <c r="I874" s="5" t="s">
        <v>557</v>
      </c>
      <c r="J874" s="40" t="s">
        <v>557</v>
      </c>
      <c r="K874" s="12">
        <f t="shared" ref="K874:L876" si="105">SUM(K875)</f>
        <v>114870.70000000001</v>
      </c>
      <c r="L874" s="12">
        <f t="shared" si="105"/>
        <v>114870.70000000001</v>
      </c>
      <c r="M874" s="12">
        <f t="shared" si="103"/>
        <v>100</v>
      </c>
      <c r="N874" s="9"/>
    </row>
    <row r="875" spans="1:14" s="28" customFormat="1" ht="35.450000000000003" customHeight="1" x14ac:dyDescent="0.2">
      <c r="A875" s="64"/>
      <c r="B875" s="41" t="s">
        <v>264</v>
      </c>
      <c r="C875" s="62">
        <v>926</v>
      </c>
      <c r="D875" s="61" t="s">
        <v>8</v>
      </c>
      <c r="E875" s="61" t="s">
        <v>5</v>
      </c>
      <c r="F875" s="61" t="s">
        <v>6</v>
      </c>
      <c r="G875" s="62">
        <v>1</v>
      </c>
      <c r="H875" s="61" t="s">
        <v>5</v>
      </c>
      <c r="I875" s="5" t="s">
        <v>557</v>
      </c>
      <c r="J875" s="40" t="s">
        <v>557</v>
      </c>
      <c r="K875" s="12">
        <f>SUM(K876+K878)</f>
        <v>114870.70000000001</v>
      </c>
      <c r="L875" s="12">
        <f>SUM(L876+L878)</f>
        <v>114870.70000000001</v>
      </c>
      <c r="M875" s="12">
        <f t="shared" si="103"/>
        <v>100</v>
      </c>
      <c r="N875" s="9"/>
    </row>
    <row r="876" spans="1:14" s="28" customFormat="1" ht="51" customHeight="1" x14ac:dyDescent="0.2">
      <c r="A876" s="64"/>
      <c r="B876" s="19" t="s">
        <v>84</v>
      </c>
      <c r="C876" s="62">
        <v>926</v>
      </c>
      <c r="D876" s="61" t="s">
        <v>8</v>
      </c>
      <c r="E876" s="61" t="s">
        <v>5</v>
      </c>
      <c r="F876" s="61" t="s">
        <v>6</v>
      </c>
      <c r="G876" s="62">
        <v>1</v>
      </c>
      <c r="H876" s="61" t="s">
        <v>5</v>
      </c>
      <c r="I876" s="61" t="s">
        <v>111</v>
      </c>
      <c r="J876" s="40" t="s">
        <v>557</v>
      </c>
      <c r="K876" s="12">
        <f t="shared" si="105"/>
        <v>114626.6</v>
      </c>
      <c r="L876" s="12">
        <f t="shared" si="105"/>
        <v>114626.6</v>
      </c>
      <c r="M876" s="12">
        <f t="shared" si="103"/>
        <v>100</v>
      </c>
      <c r="N876" s="9"/>
    </row>
    <row r="877" spans="1:14" s="28" customFormat="1" ht="32.450000000000003" customHeight="1" x14ac:dyDescent="0.2">
      <c r="A877" s="64"/>
      <c r="B877" s="44" t="s">
        <v>72</v>
      </c>
      <c r="C877" s="62">
        <v>926</v>
      </c>
      <c r="D877" s="61" t="s">
        <v>8</v>
      </c>
      <c r="E877" s="61" t="s">
        <v>5</v>
      </c>
      <c r="F877" s="61" t="s">
        <v>6</v>
      </c>
      <c r="G877" s="62">
        <v>1</v>
      </c>
      <c r="H877" s="61" t="s">
        <v>5</v>
      </c>
      <c r="I877" s="61" t="s">
        <v>111</v>
      </c>
      <c r="J877" s="61" t="s">
        <v>73</v>
      </c>
      <c r="K877" s="12">
        <v>114626.6</v>
      </c>
      <c r="L877" s="12">
        <v>114626.6</v>
      </c>
      <c r="M877" s="12">
        <f t="shared" si="103"/>
        <v>100</v>
      </c>
      <c r="N877" s="9"/>
    </row>
    <row r="878" spans="1:14" s="28" customFormat="1" ht="110.25" x14ac:dyDescent="0.2">
      <c r="A878" s="64"/>
      <c r="B878" s="19" t="s">
        <v>476</v>
      </c>
      <c r="C878" s="62">
        <v>926</v>
      </c>
      <c r="D878" s="61" t="s">
        <v>8</v>
      </c>
      <c r="E878" s="61" t="s">
        <v>5</v>
      </c>
      <c r="F878" s="61" t="s">
        <v>6</v>
      </c>
      <c r="G878" s="62">
        <v>1</v>
      </c>
      <c r="H878" s="61" t="s">
        <v>5</v>
      </c>
      <c r="I878" s="61" t="s">
        <v>477</v>
      </c>
      <c r="J878" s="40" t="s">
        <v>557</v>
      </c>
      <c r="K878" s="12">
        <f>K879</f>
        <v>244.1</v>
      </c>
      <c r="L878" s="12">
        <f>L879</f>
        <v>244.1</v>
      </c>
      <c r="M878" s="12">
        <f t="shared" si="103"/>
        <v>100</v>
      </c>
      <c r="N878" s="9"/>
    </row>
    <row r="879" spans="1:14" s="28" customFormat="1" ht="32.450000000000003" customHeight="1" x14ac:dyDescent="0.2">
      <c r="A879" s="64"/>
      <c r="B879" s="19" t="s">
        <v>72</v>
      </c>
      <c r="C879" s="62">
        <v>926</v>
      </c>
      <c r="D879" s="61" t="s">
        <v>8</v>
      </c>
      <c r="E879" s="61" t="s">
        <v>5</v>
      </c>
      <c r="F879" s="61" t="s">
        <v>6</v>
      </c>
      <c r="G879" s="62">
        <v>1</v>
      </c>
      <c r="H879" s="61" t="s">
        <v>5</v>
      </c>
      <c r="I879" s="61" t="s">
        <v>477</v>
      </c>
      <c r="J879" s="61" t="s">
        <v>73</v>
      </c>
      <c r="K879" s="12">
        <v>244.1</v>
      </c>
      <c r="L879" s="12">
        <v>244.1</v>
      </c>
      <c r="M879" s="12">
        <f t="shared" si="103"/>
        <v>100</v>
      </c>
      <c r="N879" s="9"/>
    </row>
    <row r="880" spans="1:14" s="28" customFormat="1" ht="32.25" customHeight="1" x14ac:dyDescent="0.2">
      <c r="A880" s="64"/>
      <c r="B880" s="44" t="s">
        <v>283</v>
      </c>
      <c r="C880" s="62">
        <v>926</v>
      </c>
      <c r="D880" s="61" t="s">
        <v>8</v>
      </c>
      <c r="E880" s="61" t="s">
        <v>5</v>
      </c>
      <c r="F880" s="61" t="s">
        <v>6</v>
      </c>
      <c r="G880" s="62">
        <v>2</v>
      </c>
      <c r="H880" s="5" t="s">
        <v>557</v>
      </c>
      <c r="I880" s="5" t="s">
        <v>557</v>
      </c>
      <c r="J880" s="40" t="s">
        <v>557</v>
      </c>
      <c r="K880" s="12">
        <f>K881</f>
        <v>801.1</v>
      </c>
      <c r="L880" s="12">
        <f>L881</f>
        <v>701.7</v>
      </c>
      <c r="M880" s="12">
        <f t="shared" si="103"/>
        <v>87.592060916240172</v>
      </c>
      <c r="N880" s="9"/>
    </row>
    <row r="881" spans="1:14" s="28" customFormat="1" ht="65.25" customHeight="1" x14ac:dyDescent="0.2">
      <c r="A881" s="64"/>
      <c r="B881" s="44" t="s">
        <v>265</v>
      </c>
      <c r="C881" s="62">
        <v>926</v>
      </c>
      <c r="D881" s="61" t="s">
        <v>8</v>
      </c>
      <c r="E881" s="61" t="s">
        <v>5</v>
      </c>
      <c r="F881" s="61" t="s">
        <v>6</v>
      </c>
      <c r="G881" s="62">
        <v>2</v>
      </c>
      <c r="H881" s="61" t="s">
        <v>2</v>
      </c>
      <c r="I881" s="5" t="s">
        <v>557</v>
      </c>
      <c r="J881" s="40" t="s">
        <v>557</v>
      </c>
      <c r="K881" s="12">
        <f>K884+K886+K882</f>
        <v>801.1</v>
      </c>
      <c r="L881" s="12">
        <f>L884+L886+L882</f>
        <v>701.7</v>
      </c>
      <c r="M881" s="12">
        <f t="shared" si="103"/>
        <v>87.592060916240172</v>
      </c>
      <c r="N881" s="9"/>
    </row>
    <row r="882" spans="1:14" s="28" customFormat="1" ht="31.5" x14ac:dyDescent="0.2">
      <c r="A882" s="64"/>
      <c r="B882" s="41" t="s">
        <v>508</v>
      </c>
      <c r="C882" s="62">
        <v>926</v>
      </c>
      <c r="D882" s="61" t="s">
        <v>8</v>
      </c>
      <c r="E882" s="61" t="s">
        <v>5</v>
      </c>
      <c r="F882" s="61" t="s">
        <v>6</v>
      </c>
      <c r="G882" s="62">
        <v>2</v>
      </c>
      <c r="H882" s="61" t="s">
        <v>2</v>
      </c>
      <c r="I882" s="61" t="s">
        <v>509</v>
      </c>
      <c r="J882" s="40" t="s">
        <v>557</v>
      </c>
      <c r="K882" s="12">
        <f>K883</f>
        <v>107.6</v>
      </c>
      <c r="L882" s="12">
        <f>L883</f>
        <v>107.6</v>
      </c>
      <c r="M882" s="12">
        <f t="shared" si="103"/>
        <v>100</v>
      </c>
      <c r="N882" s="9"/>
    </row>
    <row r="883" spans="1:14" s="28" customFormat="1" ht="33" customHeight="1" x14ac:dyDescent="0.2">
      <c r="A883" s="64"/>
      <c r="B883" s="19" t="s">
        <v>72</v>
      </c>
      <c r="C883" s="62">
        <v>926</v>
      </c>
      <c r="D883" s="61" t="s">
        <v>8</v>
      </c>
      <c r="E883" s="61" t="s">
        <v>5</v>
      </c>
      <c r="F883" s="61" t="s">
        <v>6</v>
      </c>
      <c r="G883" s="62">
        <v>2</v>
      </c>
      <c r="H883" s="61" t="s">
        <v>2</v>
      </c>
      <c r="I883" s="61" t="s">
        <v>509</v>
      </c>
      <c r="J883" s="61" t="s">
        <v>73</v>
      </c>
      <c r="K883" s="12">
        <v>107.6</v>
      </c>
      <c r="L883" s="12">
        <v>107.6</v>
      </c>
      <c r="M883" s="12">
        <f t="shared" si="103"/>
        <v>100</v>
      </c>
      <c r="N883" s="9"/>
    </row>
    <row r="884" spans="1:14" s="28" customFormat="1" ht="48.6" customHeight="1" x14ac:dyDescent="0.2">
      <c r="A884" s="64"/>
      <c r="B884" s="20" t="s">
        <v>266</v>
      </c>
      <c r="C884" s="62">
        <v>926</v>
      </c>
      <c r="D884" s="61" t="s">
        <v>8</v>
      </c>
      <c r="E884" s="61" t="s">
        <v>5</v>
      </c>
      <c r="F884" s="61" t="s">
        <v>6</v>
      </c>
      <c r="G884" s="62">
        <v>2</v>
      </c>
      <c r="H884" s="61" t="s">
        <v>2</v>
      </c>
      <c r="I884" s="61" t="s">
        <v>194</v>
      </c>
      <c r="J884" s="40" t="s">
        <v>557</v>
      </c>
      <c r="K884" s="12">
        <f>SUM(K885)</f>
        <v>619.29999999999995</v>
      </c>
      <c r="L884" s="12">
        <f>SUM(L885)</f>
        <v>519.9</v>
      </c>
      <c r="M884" s="12">
        <f t="shared" si="103"/>
        <v>83.949620539318587</v>
      </c>
      <c r="N884" s="9"/>
    </row>
    <row r="885" spans="1:14" s="28" customFormat="1" ht="30.6" customHeight="1" x14ac:dyDescent="0.2">
      <c r="A885" s="64"/>
      <c r="B885" s="44" t="s">
        <v>72</v>
      </c>
      <c r="C885" s="62">
        <v>926</v>
      </c>
      <c r="D885" s="61" t="s">
        <v>8</v>
      </c>
      <c r="E885" s="61" t="s">
        <v>5</v>
      </c>
      <c r="F885" s="61" t="s">
        <v>6</v>
      </c>
      <c r="G885" s="62">
        <v>2</v>
      </c>
      <c r="H885" s="61" t="s">
        <v>2</v>
      </c>
      <c r="I885" s="61" t="s">
        <v>194</v>
      </c>
      <c r="J885" s="61" t="s">
        <v>73</v>
      </c>
      <c r="K885" s="12">
        <f>900-135-90-55.7</f>
        <v>619.29999999999995</v>
      </c>
      <c r="L885" s="12">
        <v>519.9</v>
      </c>
      <c r="M885" s="12">
        <f t="shared" si="103"/>
        <v>83.949620539318587</v>
      </c>
      <c r="N885" s="9"/>
    </row>
    <row r="886" spans="1:14" s="28" customFormat="1" ht="142.5" customHeight="1" x14ac:dyDescent="0.2">
      <c r="A886" s="64"/>
      <c r="B886" s="53" t="s">
        <v>321</v>
      </c>
      <c r="C886" s="62">
        <v>926</v>
      </c>
      <c r="D886" s="61" t="s">
        <v>8</v>
      </c>
      <c r="E886" s="61" t="s">
        <v>5</v>
      </c>
      <c r="F886" s="61" t="s">
        <v>6</v>
      </c>
      <c r="G886" s="62">
        <v>2</v>
      </c>
      <c r="H886" s="61" t="s">
        <v>2</v>
      </c>
      <c r="I886" s="61" t="s">
        <v>143</v>
      </c>
      <c r="J886" s="40" t="s">
        <v>557</v>
      </c>
      <c r="K886" s="12">
        <f t="shared" ref="K886:L886" si="106">SUM(K887)</f>
        <v>74.2</v>
      </c>
      <c r="L886" s="12">
        <f t="shared" si="106"/>
        <v>74.2</v>
      </c>
      <c r="M886" s="12">
        <f t="shared" si="103"/>
        <v>100</v>
      </c>
      <c r="N886" s="9"/>
    </row>
    <row r="887" spans="1:14" s="28" customFormat="1" ht="35.25" customHeight="1" x14ac:dyDescent="0.2">
      <c r="A887" s="64"/>
      <c r="B887" s="44" t="s">
        <v>162</v>
      </c>
      <c r="C887" s="62">
        <v>926</v>
      </c>
      <c r="D887" s="61" t="s">
        <v>8</v>
      </c>
      <c r="E887" s="61" t="s">
        <v>5</v>
      </c>
      <c r="F887" s="61" t="s">
        <v>6</v>
      </c>
      <c r="G887" s="62">
        <v>2</v>
      </c>
      <c r="H887" s="61" t="s">
        <v>2</v>
      </c>
      <c r="I887" s="61" t="s">
        <v>143</v>
      </c>
      <c r="J887" s="61" t="s">
        <v>73</v>
      </c>
      <c r="K887" s="12">
        <v>74.2</v>
      </c>
      <c r="L887" s="12">
        <v>74.2</v>
      </c>
      <c r="M887" s="12">
        <f t="shared" si="103"/>
        <v>100</v>
      </c>
      <c r="N887" s="9"/>
    </row>
    <row r="888" spans="1:14" s="28" customFormat="1" ht="16.149999999999999" customHeight="1" x14ac:dyDescent="0.2">
      <c r="A888" s="64"/>
      <c r="B888" s="19" t="s">
        <v>361</v>
      </c>
      <c r="C888" s="62">
        <v>926</v>
      </c>
      <c r="D888" s="61" t="s">
        <v>8</v>
      </c>
      <c r="E888" s="61" t="s">
        <v>5</v>
      </c>
      <c r="F888" s="8" t="s">
        <v>6</v>
      </c>
      <c r="G888" s="8" t="s">
        <v>177</v>
      </c>
      <c r="H888" s="5" t="s">
        <v>557</v>
      </c>
      <c r="I888" s="5" t="s">
        <v>557</v>
      </c>
      <c r="J888" s="40" t="s">
        <v>557</v>
      </c>
      <c r="K888" s="12">
        <f>SUM(K889)</f>
        <v>17379</v>
      </c>
      <c r="L888" s="12">
        <f>SUM(L889)</f>
        <v>17334</v>
      </c>
      <c r="M888" s="12">
        <f t="shared" si="103"/>
        <v>99.741066804764372</v>
      </c>
      <c r="N888" s="9"/>
    </row>
    <row r="889" spans="1:14" s="28" customFormat="1" ht="34.15" customHeight="1" x14ac:dyDescent="0.2">
      <c r="A889" s="64"/>
      <c r="B889" s="19" t="s">
        <v>301</v>
      </c>
      <c r="C889" s="62">
        <v>926</v>
      </c>
      <c r="D889" s="61" t="s">
        <v>8</v>
      </c>
      <c r="E889" s="61" t="s">
        <v>5</v>
      </c>
      <c r="F889" s="8" t="s">
        <v>6</v>
      </c>
      <c r="G889" s="8" t="s">
        <v>177</v>
      </c>
      <c r="H889" s="8" t="s">
        <v>2</v>
      </c>
      <c r="I889" s="5" t="s">
        <v>557</v>
      </c>
      <c r="J889" s="40" t="s">
        <v>557</v>
      </c>
      <c r="K889" s="12">
        <f>SUM(K890+K892)</f>
        <v>17379</v>
      </c>
      <c r="L889" s="12">
        <f>SUM(L890+L892)</f>
        <v>17334</v>
      </c>
      <c r="M889" s="12">
        <f t="shared" si="103"/>
        <v>99.741066804764372</v>
      </c>
      <c r="N889" s="9"/>
    </row>
    <row r="890" spans="1:14" s="28" customFormat="1" ht="31.5" customHeight="1" x14ac:dyDescent="0.2">
      <c r="A890" s="64"/>
      <c r="B890" s="19" t="s">
        <v>362</v>
      </c>
      <c r="C890" s="62">
        <v>926</v>
      </c>
      <c r="D890" s="61" t="s">
        <v>8</v>
      </c>
      <c r="E890" s="61" t="s">
        <v>5</v>
      </c>
      <c r="F890" s="8" t="s">
        <v>6</v>
      </c>
      <c r="G890" s="8" t="s">
        <v>177</v>
      </c>
      <c r="H890" s="8" t="s">
        <v>2</v>
      </c>
      <c r="I890" s="8" t="s">
        <v>302</v>
      </c>
      <c r="J890" s="40" t="s">
        <v>557</v>
      </c>
      <c r="K890" s="12">
        <f>SUM(K891)</f>
        <v>429.00000000000006</v>
      </c>
      <c r="L890" s="12">
        <f>SUM(L891)</f>
        <v>384</v>
      </c>
      <c r="M890" s="12">
        <f t="shared" si="103"/>
        <v>89.510489510489492</v>
      </c>
      <c r="N890" s="9"/>
    </row>
    <row r="891" spans="1:14" s="28" customFormat="1" ht="32.450000000000003" customHeight="1" x14ac:dyDescent="0.2">
      <c r="A891" s="64"/>
      <c r="B891" s="44" t="s">
        <v>72</v>
      </c>
      <c r="C891" s="62">
        <v>926</v>
      </c>
      <c r="D891" s="61" t="s">
        <v>8</v>
      </c>
      <c r="E891" s="61" t="s">
        <v>5</v>
      </c>
      <c r="F891" s="8" t="s">
        <v>6</v>
      </c>
      <c r="G891" s="8" t="s">
        <v>177</v>
      </c>
      <c r="H891" s="8" t="s">
        <v>2</v>
      </c>
      <c r="I891" s="8" t="s">
        <v>302</v>
      </c>
      <c r="J891" s="61" t="s">
        <v>73</v>
      </c>
      <c r="K891" s="12">
        <f>225+508.7-358.7+54</f>
        <v>429.00000000000006</v>
      </c>
      <c r="L891" s="12">
        <v>384</v>
      </c>
      <c r="M891" s="12">
        <f t="shared" si="103"/>
        <v>89.510489510489492</v>
      </c>
    </row>
    <row r="892" spans="1:14" s="28" customFormat="1" ht="160.5" customHeight="1" x14ac:dyDescent="0.2">
      <c r="A892" s="64"/>
      <c r="B892" s="44" t="s">
        <v>487</v>
      </c>
      <c r="C892" s="62">
        <v>926</v>
      </c>
      <c r="D892" s="61" t="s">
        <v>8</v>
      </c>
      <c r="E892" s="61" t="s">
        <v>5</v>
      </c>
      <c r="F892" s="8" t="s">
        <v>6</v>
      </c>
      <c r="G892" s="8" t="s">
        <v>177</v>
      </c>
      <c r="H892" s="8" t="s">
        <v>2</v>
      </c>
      <c r="I892" s="8" t="s">
        <v>486</v>
      </c>
      <c r="J892" s="40" t="s">
        <v>557</v>
      </c>
      <c r="K892" s="12">
        <f>SUM(K893)</f>
        <v>16950</v>
      </c>
      <c r="L892" s="12">
        <f>SUM(L893)</f>
        <v>16950</v>
      </c>
      <c r="M892" s="12">
        <f t="shared" si="103"/>
        <v>100</v>
      </c>
    </row>
    <row r="893" spans="1:14" s="28" customFormat="1" ht="32.450000000000003" customHeight="1" x14ac:dyDescent="0.2">
      <c r="A893" s="64"/>
      <c r="B893" s="44" t="s">
        <v>72</v>
      </c>
      <c r="C893" s="62">
        <v>926</v>
      </c>
      <c r="D893" s="61" t="s">
        <v>8</v>
      </c>
      <c r="E893" s="61" t="s">
        <v>5</v>
      </c>
      <c r="F893" s="8" t="s">
        <v>6</v>
      </c>
      <c r="G893" s="8" t="s">
        <v>177</v>
      </c>
      <c r="H893" s="8" t="s">
        <v>2</v>
      </c>
      <c r="I893" s="8" t="s">
        <v>486</v>
      </c>
      <c r="J893" s="61" t="s">
        <v>73</v>
      </c>
      <c r="K893" s="12">
        <f>13899+3051</f>
        <v>16950</v>
      </c>
      <c r="L893" s="12">
        <f>13899+3051</f>
        <v>16950</v>
      </c>
      <c r="M893" s="12">
        <f t="shared" si="103"/>
        <v>100</v>
      </c>
    </row>
    <row r="894" spans="1:14" s="28" customFormat="1" ht="47.25" x14ac:dyDescent="0.2">
      <c r="A894" s="64"/>
      <c r="B894" s="41" t="s">
        <v>196</v>
      </c>
      <c r="C894" s="62">
        <v>926</v>
      </c>
      <c r="D894" s="61" t="s">
        <v>8</v>
      </c>
      <c r="E894" s="61" t="s">
        <v>5</v>
      </c>
      <c r="F894" s="8" t="s">
        <v>41</v>
      </c>
      <c r="G894" s="40" t="s">
        <v>557</v>
      </c>
      <c r="H894" s="5" t="s">
        <v>557</v>
      </c>
      <c r="I894" s="5" t="s">
        <v>557</v>
      </c>
      <c r="J894" s="40" t="s">
        <v>557</v>
      </c>
      <c r="K894" s="12">
        <f>SUM(K895+K899)</f>
        <v>7790.1000000000013</v>
      </c>
      <c r="L894" s="12">
        <f>SUM(L895+L899)</f>
        <v>7696.4000000000005</v>
      </c>
      <c r="M894" s="12">
        <f t="shared" si="103"/>
        <v>98.797191306915181</v>
      </c>
      <c r="N894" s="9"/>
    </row>
    <row r="895" spans="1:14" s="28" customFormat="1" ht="31.5" x14ac:dyDescent="0.2">
      <c r="A895" s="64"/>
      <c r="B895" s="41" t="s">
        <v>253</v>
      </c>
      <c r="C895" s="62">
        <v>926</v>
      </c>
      <c r="D895" s="61" t="s">
        <v>8</v>
      </c>
      <c r="E895" s="61" t="s">
        <v>5</v>
      </c>
      <c r="F895" s="61" t="s">
        <v>41</v>
      </c>
      <c r="G895" s="62">
        <v>2</v>
      </c>
      <c r="H895" s="5" t="s">
        <v>557</v>
      </c>
      <c r="I895" s="5" t="s">
        <v>557</v>
      </c>
      <c r="J895" s="40" t="s">
        <v>557</v>
      </c>
      <c r="K895" s="12">
        <f t="shared" ref="K895:L897" si="107">K896</f>
        <v>236.3</v>
      </c>
      <c r="L895" s="12">
        <f t="shared" si="107"/>
        <v>236.3</v>
      </c>
      <c r="M895" s="12">
        <f t="shared" si="103"/>
        <v>100</v>
      </c>
      <c r="N895" s="9"/>
    </row>
    <row r="896" spans="1:14" s="28" customFormat="1" ht="31.5" x14ac:dyDescent="0.2">
      <c r="A896" s="64"/>
      <c r="B896" s="41" t="s">
        <v>317</v>
      </c>
      <c r="C896" s="62">
        <v>926</v>
      </c>
      <c r="D896" s="61" t="s">
        <v>8</v>
      </c>
      <c r="E896" s="61" t="s">
        <v>5</v>
      </c>
      <c r="F896" s="61" t="s">
        <v>41</v>
      </c>
      <c r="G896" s="62">
        <v>2</v>
      </c>
      <c r="H896" s="61" t="s">
        <v>4</v>
      </c>
      <c r="I896" s="5" t="s">
        <v>557</v>
      </c>
      <c r="J896" s="40" t="s">
        <v>557</v>
      </c>
      <c r="K896" s="12">
        <f t="shared" si="107"/>
        <v>236.3</v>
      </c>
      <c r="L896" s="12">
        <f t="shared" si="107"/>
        <v>236.3</v>
      </c>
      <c r="M896" s="12">
        <f t="shared" si="103"/>
        <v>100</v>
      </c>
      <c r="N896" s="9"/>
    </row>
    <row r="897" spans="1:14" s="28" customFormat="1" ht="78.75" x14ac:dyDescent="0.2">
      <c r="A897" s="64"/>
      <c r="B897" s="41" t="s">
        <v>352</v>
      </c>
      <c r="C897" s="62">
        <v>926</v>
      </c>
      <c r="D897" s="61" t="s">
        <v>8</v>
      </c>
      <c r="E897" s="61" t="s">
        <v>5</v>
      </c>
      <c r="F897" s="61" t="s">
        <v>41</v>
      </c>
      <c r="G897" s="62">
        <v>2</v>
      </c>
      <c r="H897" s="61" t="s">
        <v>4</v>
      </c>
      <c r="I897" s="61" t="s">
        <v>316</v>
      </c>
      <c r="J897" s="40" t="s">
        <v>557</v>
      </c>
      <c r="K897" s="12">
        <f t="shared" si="107"/>
        <v>236.3</v>
      </c>
      <c r="L897" s="12">
        <f t="shared" si="107"/>
        <v>236.3</v>
      </c>
      <c r="M897" s="12">
        <f t="shared" si="103"/>
        <v>100</v>
      </c>
      <c r="N897" s="9"/>
    </row>
    <row r="898" spans="1:14" s="28" customFormat="1" ht="30.75" customHeight="1" x14ac:dyDescent="0.2">
      <c r="A898" s="64"/>
      <c r="B898" s="19" t="s">
        <v>72</v>
      </c>
      <c r="C898" s="62">
        <v>926</v>
      </c>
      <c r="D898" s="61" t="s">
        <v>8</v>
      </c>
      <c r="E898" s="61" t="s">
        <v>5</v>
      </c>
      <c r="F898" s="61" t="s">
        <v>41</v>
      </c>
      <c r="G898" s="62">
        <v>2</v>
      </c>
      <c r="H898" s="61" t="s">
        <v>4</v>
      </c>
      <c r="I898" s="61" t="s">
        <v>316</v>
      </c>
      <c r="J898" s="61" t="s">
        <v>73</v>
      </c>
      <c r="K898" s="12">
        <v>236.3</v>
      </c>
      <c r="L898" s="12">
        <v>236.3</v>
      </c>
      <c r="M898" s="12">
        <f t="shared" si="103"/>
        <v>100</v>
      </c>
      <c r="N898" s="9"/>
    </row>
    <row r="899" spans="1:14" s="28" customFormat="1" ht="47.25" x14ac:dyDescent="0.2">
      <c r="A899" s="64"/>
      <c r="B899" s="41" t="s">
        <v>197</v>
      </c>
      <c r="C899" s="62">
        <v>926</v>
      </c>
      <c r="D899" s="61" t="s">
        <v>8</v>
      </c>
      <c r="E899" s="61" t="s">
        <v>5</v>
      </c>
      <c r="F899" s="8" t="s">
        <v>41</v>
      </c>
      <c r="G899" s="8" t="s">
        <v>189</v>
      </c>
      <c r="H899" s="5" t="s">
        <v>557</v>
      </c>
      <c r="I899" s="5" t="s">
        <v>557</v>
      </c>
      <c r="J899" s="40" t="s">
        <v>557</v>
      </c>
      <c r="K899" s="12">
        <f t="shared" ref="K899:L901" si="108">SUM(K900)</f>
        <v>7553.8000000000011</v>
      </c>
      <c r="L899" s="12">
        <f t="shared" si="108"/>
        <v>7460.1</v>
      </c>
      <c r="M899" s="12">
        <f t="shared" si="103"/>
        <v>98.759564722391374</v>
      </c>
      <c r="N899" s="9"/>
    </row>
    <row r="900" spans="1:14" s="28" customFormat="1" ht="47.25" x14ac:dyDescent="0.2">
      <c r="A900" s="64"/>
      <c r="B900" s="41" t="s">
        <v>188</v>
      </c>
      <c r="C900" s="62">
        <v>926</v>
      </c>
      <c r="D900" s="61" t="s">
        <v>8</v>
      </c>
      <c r="E900" s="61" t="s">
        <v>5</v>
      </c>
      <c r="F900" s="8" t="s">
        <v>41</v>
      </c>
      <c r="G900" s="8" t="s">
        <v>189</v>
      </c>
      <c r="H900" s="8" t="s">
        <v>2</v>
      </c>
      <c r="I900" s="5" t="s">
        <v>557</v>
      </c>
      <c r="J900" s="40" t="s">
        <v>557</v>
      </c>
      <c r="K900" s="12">
        <f t="shared" si="108"/>
        <v>7553.8000000000011</v>
      </c>
      <c r="L900" s="12">
        <f t="shared" si="108"/>
        <v>7460.1</v>
      </c>
      <c r="M900" s="12">
        <f t="shared" si="103"/>
        <v>98.759564722391374</v>
      </c>
      <c r="N900" s="9"/>
    </row>
    <row r="901" spans="1:14" s="28" customFormat="1" ht="94.5" x14ac:dyDescent="0.2">
      <c r="A901" s="64"/>
      <c r="B901" s="41" t="s">
        <v>261</v>
      </c>
      <c r="C901" s="62">
        <v>926</v>
      </c>
      <c r="D901" s="61" t="s">
        <v>8</v>
      </c>
      <c r="E901" s="61" t="s">
        <v>5</v>
      </c>
      <c r="F901" s="8" t="s">
        <v>41</v>
      </c>
      <c r="G901" s="8" t="s">
        <v>189</v>
      </c>
      <c r="H901" s="8" t="s">
        <v>2</v>
      </c>
      <c r="I901" s="8" t="s">
        <v>206</v>
      </c>
      <c r="J901" s="40" t="s">
        <v>557</v>
      </c>
      <c r="K901" s="12">
        <f t="shared" si="108"/>
        <v>7553.8000000000011</v>
      </c>
      <c r="L901" s="12">
        <f t="shared" si="108"/>
        <v>7460.1</v>
      </c>
      <c r="M901" s="12">
        <f t="shared" si="103"/>
        <v>98.759564722391374</v>
      </c>
      <c r="N901" s="9"/>
    </row>
    <row r="902" spans="1:14" s="28" customFormat="1" ht="31.5" customHeight="1" x14ac:dyDescent="0.2">
      <c r="A902" s="64"/>
      <c r="B902" s="19" t="s">
        <v>72</v>
      </c>
      <c r="C902" s="62">
        <v>926</v>
      </c>
      <c r="D902" s="61" t="s">
        <v>8</v>
      </c>
      <c r="E902" s="61" t="s">
        <v>5</v>
      </c>
      <c r="F902" s="8" t="s">
        <v>41</v>
      </c>
      <c r="G902" s="8" t="s">
        <v>189</v>
      </c>
      <c r="H902" s="8" t="s">
        <v>2</v>
      </c>
      <c r="I902" s="8" t="s">
        <v>206</v>
      </c>
      <c r="J902" s="61" t="s">
        <v>73</v>
      </c>
      <c r="K902" s="12">
        <f>2839.2+2870.4+190.3+1653.9</f>
        <v>7553.8000000000011</v>
      </c>
      <c r="L902" s="12">
        <v>7460.1</v>
      </c>
      <c r="M902" s="12">
        <f t="shared" si="103"/>
        <v>98.759564722391374</v>
      </c>
      <c r="N902" s="9"/>
    </row>
    <row r="903" spans="1:14" s="28" customFormat="1" ht="33" customHeight="1" x14ac:dyDescent="0.2">
      <c r="A903" s="64"/>
      <c r="B903" s="19" t="s">
        <v>375</v>
      </c>
      <c r="C903" s="62">
        <v>926</v>
      </c>
      <c r="D903" s="61" t="s">
        <v>8</v>
      </c>
      <c r="E903" s="8" t="s">
        <v>7</v>
      </c>
      <c r="F903" s="5" t="s">
        <v>557</v>
      </c>
      <c r="G903" s="40" t="s">
        <v>557</v>
      </c>
      <c r="H903" s="5" t="s">
        <v>557</v>
      </c>
      <c r="I903" s="5" t="s">
        <v>557</v>
      </c>
      <c r="J903" s="40" t="s">
        <v>557</v>
      </c>
      <c r="K903" s="12">
        <f t="shared" ref="K903:L906" si="109">SUM(K904)</f>
        <v>16.3</v>
      </c>
      <c r="L903" s="12">
        <f t="shared" si="109"/>
        <v>13.5</v>
      </c>
      <c r="M903" s="12">
        <f t="shared" si="103"/>
        <v>82.822085889570545</v>
      </c>
      <c r="N903" s="9"/>
    </row>
    <row r="904" spans="1:14" s="28" customFormat="1" ht="31.5" x14ac:dyDescent="0.2">
      <c r="A904" s="64"/>
      <c r="B904" s="41" t="s">
        <v>262</v>
      </c>
      <c r="C904" s="62">
        <v>926</v>
      </c>
      <c r="D904" s="8" t="s">
        <v>8</v>
      </c>
      <c r="E904" s="8" t="s">
        <v>7</v>
      </c>
      <c r="F904" s="8" t="s">
        <v>6</v>
      </c>
      <c r="G904" s="40" t="s">
        <v>557</v>
      </c>
      <c r="H904" s="5" t="s">
        <v>557</v>
      </c>
      <c r="I904" s="5" t="s">
        <v>557</v>
      </c>
      <c r="J904" s="40" t="s">
        <v>557</v>
      </c>
      <c r="K904" s="12">
        <f t="shared" si="109"/>
        <v>16.3</v>
      </c>
      <c r="L904" s="12">
        <f t="shared" si="109"/>
        <v>13.5</v>
      </c>
      <c r="M904" s="12">
        <f t="shared" si="103"/>
        <v>82.822085889570545</v>
      </c>
      <c r="N904" s="9"/>
    </row>
    <row r="905" spans="1:14" s="28" customFormat="1" ht="36.6" customHeight="1" x14ac:dyDescent="0.2">
      <c r="A905" s="64"/>
      <c r="B905" s="41" t="s">
        <v>263</v>
      </c>
      <c r="C905" s="62">
        <v>926</v>
      </c>
      <c r="D905" s="8" t="s">
        <v>8</v>
      </c>
      <c r="E905" s="8" t="s">
        <v>7</v>
      </c>
      <c r="F905" s="8" t="s">
        <v>6</v>
      </c>
      <c r="G905" s="8" t="s">
        <v>116</v>
      </c>
      <c r="H905" s="5" t="s">
        <v>557</v>
      </c>
      <c r="I905" s="5" t="s">
        <v>557</v>
      </c>
      <c r="J905" s="40" t="s">
        <v>557</v>
      </c>
      <c r="K905" s="12">
        <f t="shared" si="109"/>
        <v>16.3</v>
      </c>
      <c r="L905" s="12">
        <f t="shared" si="109"/>
        <v>13.5</v>
      </c>
      <c r="M905" s="12">
        <f t="shared" si="103"/>
        <v>82.822085889570545</v>
      </c>
      <c r="N905" s="9"/>
    </row>
    <row r="906" spans="1:14" s="28" customFormat="1" ht="32.450000000000003" customHeight="1" x14ac:dyDescent="0.2">
      <c r="A906" s="64"/>
      <c r="B906" s="41" t="s">
        <v>155</v>
      </c>
      <c r="C906" s="62">
        <v>926</v>
      </c>
      <c r="D906" s="8" t="s">
        <v>8</v>
      </c>
      <c r="E906" s="8" t="s">
        <v>7</v>
      </c>
      <c r="F906" s="8" t="s">
        <v>6</v>
      </c>
      <c r="G906" s="8" t="s">
        <v>116</v>
      </c>
      <c r="H906" s="8" t="s">
        <v>2</v>
      </c>
      <c r="I906" s="5" t="s">
        <v>557</v>
      </c>
      <c r="J906" s="40" t="s">
        <v>557</v>
      </c>
      <c r="K906" s="12">
        <f t="shared" si="109"/>
        <v>16.3</v>
      </c>
      <c r="L906" s="12">
        <f t="shared" si="109"/>
        <v>13.5</v>
      </c>
      <c r="M906" s="12">
        <f t="shared" si="103"/>
        <v>82.822085889570545</v>
      </c>
      <c r="N906" s="9"/>
    </row>
    <row r="907" spans="1:14" s="28" customFormat="1" ht="18" customHeight="1" x14ac:dyDescent="0.2">
      <c r="A907" s="64"/>
      <c r="B907" s="19" t="s">
        <v>377</v>
      </c>
      <c r="C907" s="62">
        <v>926</v>
      </c>
      <c r="D907" s="8" t="s">
        <v>8</v>
      </c>
      <c r="E907" s="8" t="s">
        <v>7</v>
      </c>
      <c r="F907" s="8" t="s">
        <v>6</v>
      </c>
      <c r="G907" s="8" t="s">
        <v>116</v>
      </c>
      <c r="H907" s="8" t="s">
        <v>2</v>
      </c>
      <c r="I907" s="8" t="s">
        <v>376</v>
      </c>
      <c r="J907" s="40" t="s">
        <v>557</v>
      </c>
      <c r="K907" s="12">
        <f>SUM(K908)</f>
        <v>16.3</v>
      </c>
      <c r="L907" s="12">
        <f>SUM(L908)</f>
        <v>13.5</v>
      </c>
      <c r="M907" s="12">
        <f t="shared" si="103"/>
        <v>82.822085889570545</v>
      </c>
      <c r="N907" s="9"/>
    </row>
    <row r="908" spans="1:14" s="28" customFormat="1" ht="35.25" customHeight="1" x14ac:dyDescent="0.2">
      <c r="A908" s="64"/>
      <c r="B908" s="19" t="s">
        <v>164</v>
      </c>
      <c r="C908" s="62">
        <v>926</v>
      </c>
      <c r="D908" s="8" t="s">
        <v>8</v>
      </c>
      <c r="E908" s="8" t="s">
        <v>7</v>
      </c>
      <c r="F908" s="8" t="s">
        <v>6</v>
      </c>
      <c r="G908" s="8" t="s">
        <v>116</v>
      </c>
      <c r="H908" s="8" t="s">
        <v>2</v>
      </c>
      <c r="I908" s="8" t="s">
        <v>376</v>
      </c>
      <c r="J908" s="61" t="s">
        <v>57</v>
      </c>
      <c r="K908" s="12">
        <v>16.3</v>
      </c>
      <c r="L908" s="12">
        <v>13.5</v>
      </c>
      <c r="M908" s="12">
        <f t="shared" si="103"/>
        <v>82.822085889570545</v>
      </c>
      <c r="N908" s="9"/>
    </row>
    <row r="909" spans="1:14" s="28" customFormat="1" ht="20.45" customHeight="1" x14ac:dyDescent="0.2">
      <c r="A909" s="64"/>
      <c r="B909" s="19" t="s">
        <v>81</v>
      </c>
      <c r="C909" s="62">
        <v>926</v>
      </c>
      <c r="D909" s="8" t="s">
        <v>17</v>
      </c>
      <c r="E909" s="40" t="s">
        <v>557</v>
      </c>
      <c r="F909" s="5" t="s">
        <v>557</v>
      </c>
      <c r="G909" s="40" t="s">
        <v>557</v>
      </c>
      <c r="H909" s="5" t="s">
        <v>557</v>
      </c>
      <c r="I909" s="5" t="s">
        <v>557</v>
      </c>
      <c r="J909" s="40" t="s">
        <v>557</v>
      </c>
      <c r="K909" s="12">
        <f>SUM(K917+K910)</f>
        <v>25704.799999999996</v>
      </c>
      <c r="L909" s="12">
        <f>SUM(L917+L910)</f>
        <v>24688.699999999997</v>
      </c>
      <c r="M909" s="12">
        <f t="shared" si="103"/>
        <v>96.047041797640915</v>
      </c>
      <c r="N909" s="9"/>
    </row>
    <row r="910" spans="1:14" s="28" customFormat="1" ht="16.5" customHeight="1" x14ac:dyDescent="0.2">
      <c r="A910" s="64"/>
      <c r="B910" s="19" t="s">
        <v>300</v>
      </c>
      <c r="C910" s="62">
        <v>926</v>
      </c>
      <c r="D910" s="61" t="s">
        <v>17</v>
      </c>
      <c r="E910" s="61" t="s">
        <v>2</v>
      </c>
      <c r="F910" s="5" t="s">
        <v>557</v>
      </c>
      <c r="G910" s="40" t="s">
        <v>557</v>
      </c>
      <c r="H910" s="5" t="s">
        <v>557</v>
      </c>
      <c r="I910" s="5" t="s">
        <v>557</v>
      </c>
      <c r="J910" s="40" t="s">
        <v>557</v>
      </c>
      <c r="K910" s="12">
        <f t="shared" ref="K910:L913" si="110">SUM(K911)</f>
        <v>3169.2999999999997</v>
      </c>
      <c r="L910" s="12">
        <f t="shared" si="110"/>
        <v>3056.7</v>
      </c>
      <c r="M910" s="12">
        <f t="shared" si="103"/>
        <v>96.447164989114327</v>
      </c>
      <c r="N910" s="9"/>
    </row>
    <row r="911" spans="1:14" s="28" customFormat="1" ht="16.5" customHeight="1" x14ac:dyDescent="0.2">
      <c r="A911" s="64"/>
      <c r="B911" s="41" t="s">
        <v>262</v>
      </c>
      <c r="C911" s="62">
        <v>926</v>
      </c>
      <c r="D911" s="61" t="s">
        <v>17</v>
      </c>
      <c r="E911" s="61" t="s">
        <v>2</v>
      </c>
      <c r="F911" s="61" t="s">
        <v>6</v>
      </c>
      <c r="G911" s="40" t="s">
        <v>557</v>
      </c>
      <c r="H911" s="5" t="s">
        <v>557</v>
      </c>
      <c r="I911" s="5" t="s">
        <v>557</v>
      </c>
      <c r="J911" s="40" t="s">
        <v>557</v>
      </c>
      <c r="K911" s="12">
        <f t="shared" si="110"/>
        <v>3169.2999999999997</v>
      </c>
      <c r="L911" s="12">
        <f t="shared" si="110"/>
        <v>3056.7</v>
      </c>
      <c r="M911" s="12">
        <f t="shared" si="103"/>
        <v>96.447164989114327</v>
      </c>
      <c r="N911" s="9"/>
    </row>
    <row r="912" spans="1:14" s="28" customFormat="1" ht="15.75" customHeight="1" x14ac:dyDescent="0.2">
      <c r="A912" s="64"/>
      <c r="B912" s="19" t="s">
        <v>361</v>
      </c>
      <c r="C912" s="62">
        <v>926</v>
      </c>
      <c r="D912" s="61" t="s">
        <v>17</v>
      </c>
      <c r="E912" s="61" t="s">
        <v>2</v>
      </c>
      <c r="F912" s="8" t="s">
        <v>6</v>
      </c>
      <c r="G912" s="8" t="s">
        <v>177</v>
      </c>
      <c r="H912" s="5" t="s">
        <v>557</v>
      </c>
      <c r="I912" s="5" t="s">
        <v>557</v>
      </c>
      <c r="J912" s="40" t="s">
        <v>557</v>
      </c>
      <c r="K912" s="12">
        <f t="shared" si="110"/>
        <v>3169.2999999999997</v>
      </c>
      <c r="L912" s="12">
        <f t="shared" si="110"/>
        <v>3056.7</v>
      </c>
      <c r="M912" s="12">
        <f t="shared" si="103"/>
        <v>96.447164989114327</v>
      </c>
      <c r="N912" s="9"/>
    </row>
    <row r="913" spans="1:14" s="28" customFormat="1" ht="47.25" x14ac:dyDescent="0.2">
      <c r="A913" s="64"/>
      <c r="B913" s="19" t="s">
        <v>301</v>
      </c>
      <c r="C913" s="62">
        <v>926</v>
      </c>
      <c r="D913" s="61" t="s">
        <v>17</v>
      </c>
      <c r="E913" s="61" t="s">
        <v>2</v>
      </c>
      <c r="F913" s="8" t="s">
        <v>6</v>
      </c>
      <c r="G913" s="8" t="s">
        <v>177</v>
      </c>
      <c r="H913" s="8" t="s">
        <v>2</v>
      </c>
      <c r="I913" s="5" t="s">
        <v>557</v>
      </c>
      <c r="J913" s="40" t="s">
        <v>557</v>
      </c>
      <c r="K913" s="12">
        <f t="shared" si="110"/>
        <v>3169.2999999999997</v>
      </c>
      <c r="L913" s="12">
        <f t="shared" si="110"/>
        <v>3056.7</v>
      </c>
      <c r="M913" s="12">
        <f t="shared" si="103"/>
        <v>96.447164989114327</v>
      </c>
      <c r="N913" s="9"/>
    </row>
    <row r="914" spans="1:14" s="28" customFormat="1" ht="51.75" customHeight="1" x14ac:dyDescent="0.2">
      <c r="A914" s="64"/>
      <c r="B914" s="19" t="s">
        <v>362</v>
      </c>
      <c r="C914" s="62">
        <v>926</v>
      </c>
      <c r="D914" s="61" t="s">
        <v>17</v>
      </c>
      <c r="E914" s="61" t="s">
        <v>2</v>
      </c>
      <c r="F914" s="8" t="s">
        <v>6</v>
      </c>
      <c r="G914" s="8" t="s">
        <v>177</v>
      </c>
      <c r="H914" s="8" t="s">
        <v>2</v>
      </c>
      <c r="I914" s="8" t="s">
        <v>302</v>
      </c>
      <c r="J914" s="40" t="s">
        <v>557</v>
      </c>
      <c r="K914" s="12">
        <f>SUM(K915+K916)</f>
        <v>3169.2999999999997</v>
      </c>
      <c r="L914" s="12">
        <f>SUM(L915+L916)</f>
        <v>3056.7</v>
      </c>
      <c r="M914" s="12">
        <f t="shared" si="103"/>
        <v>96.447164989114327</v>
      </c>
      <c r="N914" s="9"/>
    </row>
    <row r="915" spans="1:14" s="28" customFormat="1" ht="31.5" x14ac:dyDescent="0.2">
      <c r="A915" s="64"/>
      <c r="B915" s="19" t="s">
        <v>164</v>
      </c>
      <c r="C915" s="62">
        <v>926</v>
      </c>
      <c r="D915" s="61" t="s">
        <v>17</v>
      </c>
      <c r="E915" s="61" t="s">
        <v>2</v>
      </c>
      <c r="F915" s="8" t="s">
        <v>6</v>
      </c>
      <c r="G915" s="8" t="s">
        <v>177</v>
      </c>
      <c r="H915" s="8" t="s">
        <v>2</v>
      </c>
      <c r="I915" s="8" t="s">
        <v>302</v>
      </c>
      <c r="J915" s="61" t="s">
        <v>57</v>
      </c>
      <c r="K915" s="12">
        <f>500+291+377.5+743.5+137.5+358.7+261.4+123.2+231.5</f>
        <v>3024.2999999999997</v>
      </c>
      <c r="L915" s="12">
        <v>2911.7</v>
      </c>
      <c r="M915" s="12">
        <f t="shared" si="103"/>
        <v>96.276824389114836</v>
      </c>
      <c r="N915" s="9"/>
    </row>
    <row r="916" spans="1:14" s="28" customFormat="1" ht="19.899999999999999" customHeight="1" x14ac:dyDescent="0.2">
      <c r="A916" s="64"/>
      <c r="B916" s="19" t="s">
        <v>65</v>
      </c>
      <c r="C916" s="62">
        <v>926</v>
      </c>
      <c r="D916" s="61" t="s">
        <v>17</v>
      </c>
      <c r="E916" s="61" t="s">
        <v>2</v>
      </c>
      <c r="F916" s="8" t="s">
        <v>6</v>
      </c>
      <c r="G916" s="8" t="s">
        <v>177</v>
      </c>
      <c r="H916" s="8" t="s">
        <v>2</v>
      </c>
      <c r="I916" s="8" t="s">
        <v>302</v>
      </c>
      <c r="J916" s="61" t="s">
        <v>66</v>
      </c>
      <c r="K916" s="12">
        <v>145</v>
      </c>
      <c r="L916" s="12">
        <v>145</v>
      </c>
      <c r="M916" s="12">
        <f t="shared" si="103"/>
        <v>100</v>
      </c>
      <c r="N916" s="9"/>
    </row>
    <row r="917" spans="1:14" s="28" customFormat="1" ht="31.5" x14ac:dyDescent="0.2">
      <c r="A917" s="64"/>
      <c r="B917" s="19" t="s">
        <v>49</v>
      </c>
      <c r="C917" s="62">
        <v>926</v>
      </c>
      <c r="D917" s="61" t="s">
        <v>17</v>
      </c>
      <c r="E917" s="61" t="s">
        <v>6</v>
      </c>
      <c r="F917" s="5" t="s">
        <v>557</v>
      </c>
      <c r="G917" s="40" t="s">
        <v>557</v>
      </c>
      <c r="H917" s="5" t="s">
        <v>557</v>
      </c>
      <c r="I917" s="5" t="s">
        <v>557</v>
      </c>
      <c r="J917" s="40" t="s">
        <v>557</v>
      </c>
      <c r="K917" s="12">
        <f>SUM(+K918+K947+K942)</f>
        <v>22535.499999999996</v>
      </c>
      <c r="L917" s="12">
        <f>SUM(+L918+L947+L942)</f>
        <v>21631.999999999996</v>
      </c>
      <c r="M917" s="12">
        <f t="shared" si="103"/>
        <v>95.990770118257856</v>
      </c>
      <c r="N917" s="9"/>
    </row>
    <row r="918" spans="1:14" s="28" customFormat="1" ht="31.5" x14ac:dyDescent="0.2">
      <c r="A918" s="64"/>
      <c r="B918" s="41" t="s">
        <v>262</v>
      </c>
      <c r="C918" s="62">
        <v>926</v>
      </c>
      <c r="D918" s="61" t="s">
        <v>17</v>
      </c>
      <c r="E918" s="61" t="s">
        <v>6</v>
      </c>
      <c r="F918" s="61" t="s">
        <v>6</v>
      </c>
      <c r="G918" s="40" t="s">
        <v>557</v>
      </c>
      <c r="H918" s="5" t="s">
        <v>557</v>
      </c>
      <c r="I918" s="5" t="s">
        <v>557</v>
      </c>
      <c r="J918" s="40" t="s">
        <v>557</v>
      </c>
      <c r="K918" s="12">
        <f>SUM(K919+K932+K938)</f>
        <v>18352.799999999996</v>
      </c>
      <c r="L918" s="12">
        <f>SUM(L919+L932+L938)</f>
        <v>18027.199999999997</v>
      </c>
      <c r="M918" s="12">
        <f t="shared" si="103"/>
        <v>98.225883788849671</v>
      </c>
      <c r="N918" s="9"/>
    </row>
    <row r="919" spans="1:14" s="28" customFormat="1" ht="35.25" customHeight="1" x14ac:dyDescent="0.2">
      <c r="A919" s="64"/>
      <c r="B919" s="41" t="s">
        <v>263</v>
      </c>
      <c r="C919" s="62">
        <v>926</v>
      </c>
      <c r="D919" s="61" t="s">
        <v>17</v>
      </c>
      <c r="E919" s="61" t="s">
        <v>6</v>
      </c>
      <c r="F919" s="61" t="s">
        <v>6</v>
      </c>
      <c r="G919" s="62">
        <v>1</v>
      </c>
      <c r="H919" s="5" t="s">
        <v>557</v>
      </c>
      <c r="I919" s="5" t="s">
        <v>557</v>
      </c>
      <c r="J919" s="40" t="s">
        <v>557</v>
      </c>
      <c r="K919" s="12">
        <f>SUM(K920+K926)</f>
        <v>18007.899999999998</v>
      </c>
      <c r="L919" s="12">
        <f>SUM(L920+L926)</f>
        <v>17682.3</v>
      </c>
      <c r="M919" s="12">
        <f t="shared" si="103"/>
        <v>98.191904664064111</v>
      </c>
      <c r="N919" s="9"/>
    </row>
    <row r="920" spans="1:14" s="28" customFormat="1" ht="47.25" x14ac:dyDescent="0.2">
      <c r="A920" s="64"/>
      <c r="B920" s="41" t="s">
        <v>155</v>
      </c>
      <c r="C920" s="62">
        <v>926</v>
      </c>
      <c r="D920" s="61" t="s">
        <v>17</v>
      </c>
      <c r="E920" s="61" t="s">
        <v>6</v>
      </c>
      <c r="F920" s="61" t="s">
        <v>6</v>
      </c>
      <c r="G920" s="62">
        <v>1</v>
      </c>
      <c r="H920" s="61" t="s">
        <v>2</v>
      </c>
      <c r="I920" s="5" t="s">
        <v>557</v>
      </c>
      <c r="J920" s="40" t="s">
        <v>557</v>
      </c>
      <c r="K920" s="12">
        <f>SUM(K921+K924)</f>
        <v>3735.8</v>
      </c>
      <c r="L920" s="12">
        <f>SUM(L921+L924)</f>
        <v>3647.5</v>
      </c>
      <c r="M920" s="12">
        <f t="shared" ref="M920:M980" si="111">SUM(L920/K920*100)</f>
        <v>97.636383104020553</v>
      </c>
      <c r="N920" s="9"/>
    </row>
    <row r="921" spans="1:14" s="28" customFormat="1" ht="31.5" x14ac:dyDescent="0.2">
      <c r="A921" s="64"/>
      <c r="B921" s="41" t="s">
        <v>74</v>
      </c>
      <c r="C921" s="62">
        <v>926</v>
      </c>
      <c r="D921" s="61" t="s">
        <v>17</v>
      </c>
      <c r="E921" s="61" t="s">
        <v>6</v>
      </c>
      <c r="F921" s="61" t="s">
        <v>6</v>
      </c>
      <c r="G921" s="62">
        <v>1</v>
      </c>
      <c r="H921" s="61" t="s">
        <v>2</v>
      </c>
      <c r="I921" s="61" t="s">
        <v>99</v>
      </c>
      <c r="J921" s="40" t="s">
        <v>557</v>
      </c>
      <c r="K921" s="12">
        <f>SUM(K922:K923)</f>
        <v>3722</v>
      </c>
      <c r="L921" s="12">
        <f>SUM(L922:L923)</f>
        <v>3633.7</v>
      </c>
      <c r="M921" s="12">
        <f t="shared" si="111"/>
        <v>97.627619559376683</v>
      </c>
      <c r="N921" s="9"/>
    </row>
    <row r="922" spans="1:14" s="28" customFormat="1" ht="49.5" customHeight="1" x14ac:dyDescent="0.2">
      <c r="A922" s="64"/>
      <c r="B922" s="19" t="s">
        <v>54</v>
      </c>
      <c r="C922" s="62">
        <v>926</v>
      </c>
      <c r="D922" s="61" t="s">
        <v>17</v>
      </c>
      <c r="E922" s="61" t="s">
        <v>6</v>
      </c>
      <c r="F922" s="61" t="s">
        <v>6</v>
      </c>
      <c r="G922" s="62">
        <v>1</v>
      </c>
      <c r="H922" s="61" t="s">
        <v>2</v>
      </c>
      <c r="I922" s="61" t="s">
        <v>99</v>
      </c>
      <c r="J922" s="61" t="s">
        <v>55</v>
      </c>
      <c r="K922" s="12">
        <f>3050.7+515.8+0.1+104.4</f>
        <v>3671</v>
      </c>
      <c r="L922" s="12">
        <v>3590.5</v>
      </c>
      <c r="M922" s="12">
        <f t="shared" si="111"/>
        <v>97.807137019885587</v>
      </c>
      <c r="N922" s="9"/>
    </row>
    <row r="923" spans="1:14" s="28" customFormat="1" ht="31.5" x14ac:dyDescent="0.2">
      <c r="A923" s="64"/>
      <c r="B923" s="19" t="s">
        <v>164</v>
      </c>
      <c r="C923" s="62">
        <v>926</v>
      </c>
      <c r="D923" s="61" t="s">
        <v>17</v>
      </c>
      <c r="E923" s="61" t="s">
        <v>6</v>
      </c>
      <c r="F923" s="61" t="s">
        <v>6</v>
      </c>
      <c r="G923" s="62">
        <v>1</v>
      </c>
      <c r="H923" s="61" t="s">
        <v>2</v>
      </c>
      <c r="I923" s="61" t="s">
        <v>99</v>
      </c>
      <c r="J923" s="61" t="s">
        <v>57</v>
      </c>
      <c r="K923" s="12">
        <f>57-1.4-4.6</f>
        <v>51</v>
      </c>
      <c r="L923" s="12">
        <v>43.2</v>
      </c>
      <c r="M923" s="12">
        <f t="shared" si="111"/>
        <v>84.705882352941188</v>
      </c>
      <c r="N923" s="9"/>
    </row>
    <row r="924" spans="1:14" s="28" customFormat="1" ht="19.899999999999999" customHeight="1" x14ac:dyDescent="0.2">
      <c r="A924" s="64"/>
      <c r="B924" s="19" t="s">
        <v>374</v>
      </c>
      <c r="C924" s="62">
        <v>926</v>
      </c>
      <c r="D924" s="61" t="s">
        <v>17</v>
      </c>
      <c r="E924" s="8" t="s">
        <v>6</v>
      </c>
      <c r="F924" s="8" t="s">
        <v>6</v>
      </c>
      <c r="G924" s="63">
        <v>1</v>
      </c>
      <c r="H924" s="8" t="s">
        <v>2</v>
      </c>
      <c r="I924" s="8" t="s">
        <v>373</v>
      </c>
      <c r="J924" s="40" t="s">
        <v>557</v>
      </c>
      <c r="K924" s="12">
        <f>SUM(K925)</f>
        <v>13.8</v>
      </c>
      <c r="L924" s="12">
        <f>SUM(L925)</f>
        <v>13.8</v>
      </c>
      <c r="M924" s="12">
        <f t="shared" si="111"/>
        <v>100</v>
      </c>
      <c r="N924" s="9"/>
    </row>
    <row r="925" spans="1:14" s="28" customFormat="1" ht="31.5" x14ac:dyDescent="0.2">
      <c r="A925" s="64"/>
      <c r="B925" s="19" t="s">
        <v>164</v>
      </c>
      <c r="C925" s="62">
        <v>926</v>
      </c>
      <c r="D925" s="8" t="s">
        <v>17</v>
      </c>
      <c r="E925" s="8" t="s">
        <v>6</v>
      </c>
      <c r="F925" s="8" t="s">
        <v>6</v>
      </c>
      <c r="G925" s="63">
        <v>1</v>
      </c>
      <c r="H925" s="8" t="s">
        <v>2</v>
      </c>
      <c r="I925" s="8" t="s">
        <v>373</v>
      </c>
      <c r="J925" s="8" t="s">
        <v>57</v>
      </c>
      <c r="K925" s="12">
        <v>13.8</v>
      </c>
      <c r="L925" s="12">
        <v>13.8</v>
      </c>
      <c r="M925" s="12">
        <f t="shared" si="111"/>
        <v>100</v>
      </c>
      <c r="N925" s="9"/>
    </row>
    <row r="926" spans="1:14" s="28" customFormat="1" ht="47.25" x14ac:dyDescent="0.2">
      <c r="A926" s="64"/>
      <c r="B926" s="41" t="s">
        <v>267</v>
      </c>
      <c r="C926" s="62">
        <v>926</v>
      </c>
      <c r="D926" s="8" t="s">
        <v>17</v>
      </c>
      <c r="E926" s="61" t="s">
        <v>6</v>
      </c>
      <c r="F926" s="61" t="s">
        <v>6</v>
      </c>
      <c r="G926" s="62">
        <v>1</v>
      </c>
      <c r="H926" s="61" t="s">
        <v>4</v>
      </c>
      <c r="I926" s="5" t="s">
        <v>557</v>
      </c>
      <c r="J926" s="40" t="s">
        <v>557</v>
      </c>
      <c r="K926" s="12">
        <f>SUM(K927)</f>
        <v>14272.099999999999</v>
      </c>
      <c r="L926" s="12">
        <f>SUM(L927)</f>
        <v>14034.8</v>
      </c>
      <c r="M926" s="12">
        <f t="shared" si="111"/>
        <v>98.337315461634944</v>
      </c>
      <c r="N926" s="9"/>
    </row>
    <row r="927" spans="1:14" s="28" customFormat="1" ht="64.5" customHeight="1" x14ac:dyDescent="0.2">
      <c r="A927" s="64"/>
      <c r="B927" s="19" t="s">
        <v>84</v>
      </c>
      <c r="C927" s="62">
        <v>926</v>
      </c>
      <c r="D927" s="61" t="s">
        <v>17</v>
      </c>
      <c r="E927" s="61" t="s">
        <v>6</v>
      </c>
      <c r="F927" s="61" t="s">
        <v>6</v>
      </c>
      <c r="G927" s="62">
        <v>1</v>
      </c>
      <c r="H927" s="61" t="s">
        <v>4</v>
      </c>
      <c r="I927" s="61" t="s">
        <v>111</v>
      </c>
      <c r="J927" s="40" t="s">
        <v>557</v>
      </c>
      <c r="K927" s="12">
        <f>SUM(K928:K931)</f>
        <v>14272.099999999999</v>
      </c>
      <c r="L927" s="12">
        <f>SUM(L928:L931)</f>
        <v>14034.8</v>
      </c>
      <c r="M927" s="12">
        <f t="shared" si="111"/>
        <v>98.337315461634944</v>
      </c>
      <c r="N927" s="9"/>
    </row>
    <row r="928" spans="1:14" s="28" customFormat="1" ht="63" x14ac:dyDescent="0.2">
      <c r="A928" s="64"/>
      <c r="B928" s="19" t="s">
        <v>54</v>
      </c>
      <c r="C928" s="62">
        <v>926</v>
      </c>
      <c r="D928" s="61" t="s">
        <v>17</v>
      </c>
      <c r="E928" s="61" t="s">
        <v>6</v>
      </c>
      <c r="F928" s="61" t="s">
        <v>6</v>
      </c>
      <c r="G928" s="62">
        <v>1</v>
      </c>
      <c r="H928" s="61" t="s">
        <v>4</v>
      </c>
      <c r="I928" s="61" t="s">
        <v>111</v>
      </c>
      <c r="J928" s="61" t="s">
        <v>55</v>
      </c>
      <c r="K928" s="12">
        <f>7481.4+2503.6+578</f>
        <v>10563</v>
      </c>
      <c r="L928" s="12">
        <v>10543</v>
      </c>
      <c r="M928" s="12">
        <f t="shared" si="111"/>
        <v>99.810659850421274</v>
      </c>
      <c r="N928" s="9"/>
    </row>
    <row r="929" spans="1:14" s="28" customFormat="1" ht="31.5" x14ac:dyDescent="0.2">
      <c r="A929" s="64"/>
      <c r="B929" s="19" t="s">
        <v>164</v>
      </c>
      <c r="C929" s="62">
        <v>926</v>
      </c>
      <c r="D929" s="61" t="s">
        <v>17</v>
      </c>
      <c r="E929" s="61" t="s">
        <v>6</v>
      </c>
      <c r="F929" s="61" t="s">
        <v>6</v>
      </c>
      <c r="G929" s="62">
        <v>1</v>
      </c>
      <c r="H929" s="61" t="s">
        <v>4</v>
      </c>
      <c r="I929" s="61" t="s">
        <v>111</v>
      </c>
      <c r="J929" s="61" t="s">
        <v>57</v>
      </c>
      <c r="K929" s="12">
        <f>2238.9+31+82.8+55.7</f>
        <v>2408.4</v>
      </c>
      <c r="L929" s="12">
        <v>2191.1</v>
      </c>
      <c r="M929" s="12">
        <f t="shared" si="111"/>
        <v>90.977412389968435</v>
      </c>
      <c r="N929" s="9"/>
    </row>
    <row r="930" spans="1:14" s="28" customFormat="1" x14ac:dyDescent="0.2">
      <c r="A930" s="64"/>
      <c r="B930" s="19" t="s">
        <v>22</v>
      </c>
      <c r="C930" s="62">
        <v>926</v>
      </c>
      <c r="D930" s="61" t="s">
        <v>17</v>
      </c>
      <c r="E930" s="61" t="s">
        <v>6</v>
      </c>
      <c r="F930" s="61" t="s">
        <v>6</v>
      </c>
      <c r="G930" s="62">
        <v>1</v>
      </c>
      <c r="H930" s="61" t="s">
        <v>4</v>
      </c>
      <c r="I930" s="61" t="s">
        <v>111</v>
      </c>
      <c r="J930" s="61" t="s">
        <v>69</v>
      </c>
      <c r="K930" s="12">
        <f>1438.7-118.8-31</f>
        <v>1288.9000000000001</v>
      </c>
      <c r="L930" s="12">
        <f>1438.7-118.8-31</f>
        <v>1288.9000000000001</v>
      </c>
      <c r="M930" s="12">
        <f t="shared" si="111"/>
        <v>100</v>
      </c>
      <c r="N930" s="9"/>
    </row>
    <row r="931" spans="1:14" s="28" customFormat="1" x14ac:dyDescent="0.2">
      <c r="A931" s="64"/>
      <c r="B931" s="19" t="s">
        <v>59</v>
      </c>
      <c r="C931" s="62">
        <v>926</v>
      </c>
      <c r="D931" s="61" t="s">
        <v>17</v>
      </c>
      <c r="E931" s="61" t="s">
        <v>6</v>
      </c>
      <c r="F931" s="61" t="s">
        <v>6</v>
      </c>
      <c r="G931" s="62">
        <v>1</v>
      </c>
      <c r="H931" s="61" t="s">
        <v>4</v>
      </c>
      <c r="I931" s="61" t="s">
        <v>111</v>
      </c>
      <c r="J931" s="61" t="s">
        <v>60</v>
      </c>
      <c r="K931" s="12">
        <v>11.8</v>
      </c>
      <c r="L931" s="12">
        <v>11.8</v>
      </c>
      <c r="M931" s="12">
        <f t="shared" si="111"/>
        <v>100</v>
      </c>
      <c r="N931" s="9"/>
    </row>
    <row r="932" spans="1:14" s="28" customFormat="1" ht="47.25" x14ac:dyDescent="0.2">
      <c r="A932" s="64"/>
      <c r="B932" s="41" t="s">
        <v>283</v>
      </c>
      <c r="C932" s="62">
        <v>926</v>
      </c>
      <c r="D932" s="61" t="s">
        <v>17</v>
      </c>
      <c r="E932" s="61" t="s">
        <v>6</v>
      </c>
      <c r="F932" s="8" t="s">
        <v>6</v>
      </c>
      <c r="G932" s="8" t="s">
        <v>156</v>
      </c>
      <c r="H932" s="5" t="s">
        <v>557</v>
      </c>
      <c r="I932" s="5" t="s">
        <v>557</v>
      </c>
      <c r="J932" s="40" t="s">
        <v>557</v>
      </c>
      <c r="K932" s="12">
        <f>K933</f>
        <v>226.1</v>
      </c>
      <c r="L932" s="12">
        <f>L933</f>
        <v>226.1</v>
      </c>
      <c r="M932" s="12">
        <f t="shared" si="111"/>
        <v>100</v>
      </c>
      <c r="N932" s="9"/>
    </row>
    <row r="933" spans="1:14" s="28" customFormat="1" ht="50.45" customHeight="1" x14ac:dyDescent="0.2">
      <c r="A933" s="64"/>
      <c r="B933" s="41" t="s">
        <v>265</v>
      </c>
      <c r="C933" s="62">
        <v>926</v>
      </c>
      <c r="D933" s="61" t="s">
        <v>17</v>
      </c>
      <c r="E933" s="61" t="s">
        <v>6</v>
      </c>
      <c r="F933" s="8" t="s">
        <v>6</v>
      </c>
      <c r="G933" s="8" t="s">
        <v>156</v>
      </c>
      <c r="H933" s="8" t="s">
        <v>2</v>
      </c>
      <c r="I933" s="5" t="s">
        <v>557</v>
      </c>
      <c r="J933" s="40" t="s">
        <v>557</v>
      </c>
      <c r="K933" s="12">
        <f>K936+K934</f>
        <v>226.1</v>
      </c>
      <c r="L933" s="12">
        <f>L936+L934</f>
        <v>226.1</v>
      </c>
      <c r="M933" s="12">
        <f t="shared" si="111"/>
        <v>100</v>
      </c>
      <c r="N933" s="9"/>
    </row>
    <row r="934" spans="1:14" s="28" customFormat="1" ht="65.25" customHeight="1" x14ac:dyDescent="0.2">
      <c r="A934" s="64"/>
      <c r="B934" s="20" t="s">
        <v>266</v>
      </c>
      <c r="C934" s="62">
        <v>926</v>
      </c>
      <c r="D934" s="61" t="s">
        <v>17</v>
      </c>
      <c r="E934" s="61" t="s">
        <v>6</v>
      </c>
      <c r="F934" s="61" t="s">
        <v>6</v>
      </c>
      <c r="G934" s="62">
        <v>2</v>
      </c>
      <c r="H934" s="61" t="s">
        <v>2</v>
      </c>
      <c r="I934" s="61" t="s">
        <v>194</v>
      </c>
      <c r="J934" s="40" t="s">
        <v>557</v>
      </c>
      <c r="K934" s="12">
        <f>K935</f>
        <v>225</v>
      </c>
      <c r="L934" s="12">
        <f>L935</f>
        <v>225</v>
      </c>
      <c r="M934" s="12">
        <f t="shared" si="111"/>
        <v>100</v>
      </c>
      <c r="N934" s="9"/>
    </row>
    <row r="935" spans="1:14" s="28" customFormat="1" ht="50.25" customHeight="1" x14ac:dyDescent="0.2">
      <c r="A935" s="64"/>
      <c r="B935" s="19" t="s">
        <v>54</v>
      </c>
      <c r="C935" s="62">
        <v>926</v>
      </c>
      <c r="D935" s="61" t="s">
        <v>17</v>
      </c>
      <c r="E935" s="61" t="s">
        <v>6</v>
      </c>
      <c r="F935" s="61" t="s">
        <v>6</v>
      </c>
      <c r="G935" s="62">
        <v>2</v>
      </c>
      <c r="H935" s="61" t="s">
        <v>2</v>
      </c>
      <c r="I935" s="61" t="s">
        <v>194</v>
      </c>
      <c r="J935" s="61" t="s">
        <v>55</v>
      </c>
      <c r="K935" s="12">
        <f>135+90</f>
        <v>225</v>
      </c>
      <c r="L935" s="12">
        <f>135+90</f>
        <v>225</v>
      </c>
      <c r="M935" s="12">
        <f t="shared" si="111"/>
        <v>100</v>
      </c>
      <c r="N935" s="9"/>
    </row>
    <row r="936" spans="1:14" s="28" customFormat="1" ht="96" customHeight="1" x14ac:dyDescent="0.2">
      <c r="A936" s="64"/>
      <c r="B936" s="53" t="s">
        <v>321</v>
      </c>
      <c r="C936" s="62">
        <v>926</v>
      </c>
      <c r="D936" s="61" t="s">
        <v>17</v>
      </c>
      <c r="E936" s="61" t="s">
        <v>6</v>
      </c>
      <c r="F936" s="8" t="s">
        <v>6</v>
      </c>
      <c r="G936" s="8" t="s">
        <v>156</v>
      </c>
      <c r="H936" s="8" t="s">
        <v>2</v>
      </c>
      <c r="I936" s="61" t="s">
        <v>143</v>
      </c>
      <c r="J936" s="40" t="s">
        <v>557</v>
      </c>
      <c r="K936" s="12">
        <f t="shared" ref="K936:L936" si="112">SUM(K937)</f>
        <v>1.1000000000000001</v>
      </c>
      <c r="L936" s="12">
        <f t="shared" si="112"/>
        <v>1.1000000000000001</v>
      </c>
      <c r="M936" s="12">
        <f t="shared" si="111"/>
        <v>100</v>
      </c>
      <c r="N936" s="9"/>
    </row>
    <row r="937" spans="1:14" s="28" customFormat="1" ht="31.5" x14ac:dyDescent="0.2">
      <c r="A937" s="64"/>
      <c r="B937" s="19" t="s">
        <v>164</v>
      </c>
      <c r="C937" s="62">
        <v>926</v>
      </c>
      <c r="D937" s="61" t="s">
        <v>17</v>
      </c>
      <c r="E937" s="61" t="s">
        <v>6</v>
      </c>
      <c r="F937" s="8" t="s">
        <v>6</v>
      </c>
      <c r="G937" s="8" t="s">
        <v>156</v>
      </c>
      <c r="H937" s="8" t="s">
        <v>2</v>
      </c>
      <c r="I937" s="61" t="s">
        <v>143</v>
      </c>
      <c r="J937" s="61" t="s">
        <v>57</v>
      </c>
      <c r="K937" s="12">
        <v>1.1000000000000001</v>
      </c>
      <c r="L937" s="12">
        <v>1.1000000000000001</v>
      </c>
      <c r="M937" s="12">
        <f t="shared" si="111"/>
        <v>100</v>
      </c>
      <c r="N937" s="9"/>
    </row>
    <row r="938" spans="1:14" s="28" customFormat="1" ht="21" customHeight="1" x14ac:dyDescent="0.2">
      <c r="A938" s="64"/>
      <c r="B938" s="41" t="s">
        <v>444</v>
      </c>
      <c r="C938" s="62">
        <v>926</v>
      </c>
      <c r="D938" s="61" t="s">
        <v>17</v>
      </c>
      <c r="E938" s="61" t="s">
        <v>6</v>
      </c>
      <c r="F938" s="8" t="s">
        <v>6</v>
      </c>
      <c r="G938" s="8" t="s">
        <v>177</v>
      </c>
      <c r="H938" s="5" t="s">
        <v>557</v>
      </c>
      <c r="I938" s="5" t="s">
        <v>557</v>
      </c>
      <c r="J938" s="40" t="s">
        <v>557</v>
      </c>
      <c r="K938" s="12">
        <f>SUM(K939)</f>
        <v>118.8</v>
      </c>
      <c r="L938" s="12">
        <f>SUM(L939)</f>
        <v>118.8</v>
      </c>
      <c r="M938" s="12">
        <f t="shared" si="111"/>
        <v>100</v>
      </c>
      <c r="N938" s="9"/>
    </row>
    <row r="939" spans="1:14" s="28" customFormat="1" ht="33.75" customHeight="1" x14ac:dyDescent="0.2">
      <c r="A939" s="64"/>
      <c r="B939" s="44" t="s">
        <v>446</v>
      </c>
      <c r="C939" s="62">
        <v>926</v>
      </c>
      <c r="D939" s="61" t="s">
        <v>17</v>
      </c>
      <c r="E939" s="61" t="s">
        <v>6</v>
      </c>
      <c r="F939" s="8" t="s">
        <v>6</v>
      </c>
      <c r="G939" s="8" t="s">
        <v>177</v>
      </c>
      <c r="H939" s="8" t="s">
        <v>4</v>
      </c>
      <c r="I939" s="5" t="s">
        <v>557</v>
      </c>
      <c r="J939" s="40" t="s">
        <v>557</v>
      </c>
      <c r="K939" s="12">
        <f>K940</f>
        <v>118.8</v>
      </c>
      <c r="L939" s="12">
        <f>L940</f>
        <v>118.8</v>
      </c>
      <c r="M939" s="12">
        <f t="shared" si="111"/>
        <v>100</v>
      </c>
      <c r="N939" s="9"/>
    </row>
    <row r="940" spans="1:14" s="28" customFormat="1" x14ac:dyDescent="0.2">
      <c r="A940" s="64"/>
      <c r="B940" s="44" t="s">
        <v>372</v>
      </c>
      <c r="C940" s="62">
        <v>926</v>
      </c>
      <c r="D940" s="61" t="s">
        <v>17</v>
      </c>
      <c r="E940" s="61" t="s">
        <v>6</v>
      </c>
      <c r="F940" s="8" t="s">
        <v>6</v>
      </c>
      <c r="G940" s="8" t="s">
        <v>177</v>
      </c>
      <c r="H940" s="8" t="s">
        <v>4</v>
      </c>
      <c r="I940" s="8" t="s">
        <v>445</v>
      </c>
      <c r="J940" s="40" t="s">
        <v>557</v>
      </c>
      <c r="K940" s="12">
        <f>K941</f>
        <v>118.8</v>
      </c>
      <c r="L940" s="12">
        <f>L941</f>
        <v>118.8</v>
      </c>
      <c r="M940" s="12">
        <f t="shared" si="111"/>
        <v>100</v>
      </c>
      <c r="N940" s="9"/>
    </row>
    <row r="941" spans="1:14" s="28" customFormat="1" x14ac:dyDescent="0.2">
      <c r="A941" s="64"/>
      <c r="B941" s="44" t="s">
        <v>22</v>
      </c>
      <c r="C941" s="62">
        <v>926</v>
      </c>
      <c r="D941" s="61" t="s">
        <v>17</v>
      </c>
      <c r="E941" s="61" t="s">
        <v>6</v>
      </c>
      <c r="F941" s="8" t="s">
        <v>6</v>
      </c>
      <c r="G941" s="8" t="s">
        <v>177</v>
      </c>
      <c r="H941" s="8" t="s">
        <v>4</v>
      </c>
      <c r="I941" s="8" t="s">
        <v>445</v>
      </c>
      <c r="J941" s="61" t="s">
        <v>69</v>
      </c>
      <c r="K941" s="12">
        <v>118.8</v>
      </c>
      <c r="L941" s="12">
        <v>118.8</v>
      </c>
      <c r="M941" s="12">
        <f t="shared" si="111"/>
        <v>100</v>
      </c>
      <c r="N941" s="9"/>
    </row>
    <row r="942" spans="1:14" s="28" customFormat="1" ht="34.9" customHeight="1" x14ac:dyDescent="0.2">
      <c r="A942" s="64"/>
      <c r="B942" s="44" t="s">
        <v>280</v>
      </c>
      <c r="C942" s="62">
        <v>926</v>
      </c>
      <c r="D942" s="61" t="s">
        <v>17</v>
      </c>
      <c r="E942" s="61" t="s">
        <v>6</v>
      </c>
      <c r="F942" s="8" t="s">
        <v>21</v>
      </c>
      <c r="G942" s="40" t="s">
        <v>557</v>
      </c>
      <c r="H942" s="5" t="s">
        <v>557</v>
      </c>
      <c r="I942" s="5" t="s">
        <v>557</v>
      </c>
      <c r="J942" s="40" t="s">
        <v>557</v>
      </c>
      <c r="K942" s="12">
        <f t="shared" ref="K942:L945" si="113">K943</f>
        <v>220</v>
      </c>
      <c r="L942" s="12">
        <f t="shared" si="113"/>
        <v>220</v>
      </c>
      <c r="M942" s="12">
        <f t="shared" si="111"/>
        <v>100</v>
      </c>
      <c r="N942" s="9"/>
    </row>
    <row r="943" spans="1:14" s="28" customFormat="1" ht="16.149999999999999" customHeight="1" x14ac:dyDescent="0.2">
      <c r="A943" s="64"/>
      <c r="B943" s="52" t="s">
        <v>428</v>
      </c>
      <c r="C943" s="62">
        <v>926</v>
      </c>
      <c r="D943" s="61" t="s">
        <v>17</v>
      </c>
      <c r="E943" s="61" t="s">
        <v>6</v>
      </c>
      <c r="F943" s="8" t="s">
        <v>21</v>
      </c>
      <c r="G943" s="63">
        <v>1</v>
      </c>
      <c r="H943" s="5" t="s">
        <v>557</v>
      </c>
      <c r="I943" s="5" t="s">
        <v>557</v>
      </c>
      <c r="J943" s="40" t="s">
        <v>557</v>
      </c>
      <c r="K943" s="12">
        <f t="shared" si="113"/>
        <v>220</v>
      </c>
      <c r="L943" s="12">
        <f t="shared" si="113"/>
        <v>220</v>
      </c>
      <c r="M943" s="12">
        <f t="shared" si="111"/>
        <v>100</v>
      </c>
      <c r="N943" s="9"/>
    </row>
    <row r="944" spans="1:14" s="28" customFormat="1" ht="47.25" customHeight="1" x14ac:dyDescent="0.2">
      <c r="A944" s="64"/>
      <c r="B944" s="52" t="s">
        <v>413</v>
      </c>
      <c r="C944" s="62">
        <v>926</v>
      </c>
      <c r="D944" s="61" t="s">
        <v>17</v>
      </c>
      <c r="E944" s="61" t="s">
        <v>6</v>
      </c>
      <c r="F944" s="8" t="s">
        <v>21</v>
      </c>
      <c r="G944" s="63">
        <v>1</v>
      </c>
      <c r="H944" s="8" t="s">
        <v>2</v>
      </c>
      <c r="I944" s="5" t="s">
        <v>557</v>
      </c>
      <c r="J944" s="40" t="s">
        <v>557</v>
      </c>
      <c r="K944" s="12">
        <f t="shared" si="113"/>
        <v>220</v>
      </c>
      <c r="L944" s="12">
        <f t="shared" si="113"/>
        <v>220</v>
      </c>
      <c r="M944" s="12">
        <f t="shared" si="111"/>
        <v>100</v>
      </c>
      <c r="N944" s="9"/>
    </row>
    <row r="945" spans="1:14" s="28" customFormat="1" ht="63" x14ac:dyDescent="0.2">
      <c r="A945" s="64"/>
      <c r="B945" s="52" t="s">
        <v>552</v>
      </c>
      <c r="C945" s="62">
        <v>926</v>
      </c>
      <c r="D945" s="61" t="s">
        <v>17</v>
      </c>
      <c r="E945" s="61" t="s">
        <v>6</v>
      </c>
      <c r="F945" s="8" t="s">
        <v>21</v>
      </c>
      <c r="G945" s="63">
        <v>1</v>
      </c>
      <c r="H945" s="8" t="s">
        <v>2</v>
      </c>
      <c r="I945" s="8" t="s">
        <v>414</v>
      </c>
      <c r="J945" s="40" t="s">
        <v>557</v>
      </c>
      <c r="K945" s="12">
        <f t="shared" si="113"/>
        <v>220</v>
      </c>
      <c r="L945" s="12">
        <f t="shared" si="113"/>
        <v>220</v>
      </c>
      <c r="M945" s="12">
        <f t="shared" si="111"/>
        <v>100</v>
      </c>
      <c r="N945" s="9"/>
    </row>
    <row r="946" spans="1:14" s="28" customFormat="1" ht="35.450000000000003" customHeight="1" x14ac:dyDescent="0.2">
      <c r="A946" s="64"/>
      <c r="B946" s="19" t="s">
        <v>164</v>
      </c>
      <c r="C946" s="62">
        <v>926</v>
      </c>
      <c r="D946" s="61" t="s">
        <v>17</v>
      </c>
      <c r="E946" s="61" t="s">
        <v>6</v>
      </c>
      <c r="F946" s="8" t="s">
        <v>21</v>
      </c>
      <c r="G946" s="63">
        <v>1</v>
      </c>
      <c r="H946" s="8" t="s">
        <v>2</v>
      </c>
      <c r="I946" s="8" t="s">
        <v>414</v>
      </c>
      <c r="J946" s="8" t="s">
        <v>57</v>
      </c>
      <c r="K946" s="12">
        <v>220</v>
      </c>
      <c r="L946" s="12">
        <v>220</v>
      </c>
      <c r="M946" s="12">
        <f t="shared" si="111"/>
        <v>100</v>
      </c>
      <c r="N946" s="9"/>
    </row>
    <row r="947" spans="1:14" s="28" customFormat="1" ht="33.6" customHeight="1" x14ac:dyDescent="0.2">
      <c r="A947" s="64"/>
      <c r="B947" s="19" t="s">
        <v>359</v>
      </c>
      <c r="C947" s="62">
        <v>926</v>
      </c>
      <c r="D947" s="61" t="s">
        <v>17</v>
      </c>
      <c r="E947" s="61" t="s">
        <v>6</v>
      </c>
      <c r="F947" s="8" t="s">
        <v>88</v>
      </c>
      <c r="G947" s="40" t="s">
        <v>557</v>
      </c>
      <c r="H947" s="5" t="s">
        <v>557</v>
      </c>
      <c r="I947" s="5" t="s">
        <v>557</v>
      </c>
      <c r="J947" s="40" t="s">
        <v>557</v>
      </c>
      <c r="K947" s="12">
        <f>K952+K948</f>
        <v>3962.7000000000003</v>
      </c>
      <c r="L947" s="12">
        <f>L952+L948</f>
        <v>3384.8</v>
      </c>
      <c r="M947" s="12">
        <f t="shared" si="111"/>
        <v>85.416508945920711</v>
      </c>
      <c r="N947" s="9"/>
    </row>
    <row r="948" spans="1:14" s="28" customFormat="1" ht="48" customHeight="1" x14ac:dyDescent="0.2">
      <c r="A948" s="64"/>
      <c r="B948" s="19" t="s">
        <v>461</v>
      </c>
      <c r="C948" s="62">
        <v>926</v>
      </c>
      <c r="D948" s="61" t="s">
        <v>17</v>
      </c>
      <c r="E948" s="61" t="s">
        <v>6</v>
      </c>
      <c r="F948" s="8" t="s">
        <v>88</v>
      </c>
      <c r="G948" s="8" t="s">
        <v>116</v>
      </c>
      <c r="H948" s="5" t="s">
        <v>557</v>
      </c>
      <c r="I948" s="5" t="s">
        <v>557</v>
      </c>
      <c r="J948" s="40" t="s">
        <v>557</v>
      </c>
      <c r="K948" s="12">
        <f t="shared" ref="K948:L950" si="114">K949</f>
        <v>340</v>
      </c>
      <c r="L948" s="12">
        <f t="shared" si="114"/>
        <v>340</v>
      </c>
      <c r="M948" s="12">
        <f t="shared" si="111"/>
        <v>100</v>
      </c>
      <c r="N948" s="9"/>
    </row>
    <row r="949" spans="1:14" s="28" customFormat="1" ht="65.25" customHeight="1" x14ac:dyDescent="0.2">
      <c r="A949" s="64"/>
      <c r="B949" s="19" t="s">
        <v>462</v>
      </c>
      <c r="C949" s="62">
        <v>926</v>
      </c>
      <c r="D949" s="61" t="s">
        <v>17</v>
      </c>
      <c r="E949" s="61" t="s">
        <v>6</v>
      </c>
      <c r="F949" s="8" t="s">
        <v>88</v>
      </c>
      <c r="G949" s="8" t="s">
        <v>116</v>
      </c>
      <c r="H949" s="8" t="s">
        <v>2</v>
      </c>
      <c r="I949" s="5" t="s">
        <v>557</v>
      </c>
      <c r="J949" s="40" t="s">
        <v>557</v>
      </c>
      <c r="K949" s="12">
        <f t="shared" si="114"/>
        <v>340</v>
      </c>
      <c r="L949" s="12">
        <f t="shared" si="114"/>
        <v>340</v>
      </c>
      <c r="M949" s="12">
        <f t="shared" si="111"/>
        <v>100</v>
      </c>
      <c r="N949" s="9"/>
    </row>
    <row r="950" spans="1:14" s="28" customFormat="1" ht="110.25" x14ac:dyDescent="0.2">
      <c r="A950" s="64"/>
      <c r="B950" s="19" t="s">
        <v>463</v>
      </c>
      <c r="C950" s="62">
        <v>926</v>
      </c>
      <c r="D950" s="61" t="s">
        <v>17</v>
      </c>
      <c r="E950" s="61" t="s">
        <v>6</v>
      </c>
      <c r="F950" s="8" t="s">
        <v>88</v>
      </c>
      <c r="G950" s="8" t="s">
        <v>116</v>
      </c>
      <c r="H950" s="8" t="s">
        <v>2</v>
      </c>
      <c r="I950" s="8" t="s">
        <v>464</v>
      </c>
      <c r="J950" s="40" t="s">
        <v>557</v>
      </c>
      <c r="K950" s="12">
        <f t="shared" si="114"/>
        <v>340</v>
      </c>
      <c r="L950" s="12">
        <f t="shared" si="114"/>
        <v>340</v>
      </c>
      <c r="M950" s="12">
        <f t="shared" si="111"/>
        <v>100</v>
      </c>
      <c r="N950" s="9"/>
    </row>
    <row r="951" spans="1:14" s="28" customFormat="1" ht="34.9" customHeight="1" x14ac:dyDescent="0.2">
      <c r="A951" s="64"/>
      <c r="B951" s="19" t="s">
        <v>164</v>
      </c>
      <c r="C951" s="62">
        <v>926</v>
      </c>
      <c r="D951" s="61" t="s">
        <v>17</v>
      </c>
      <c r="E951" s="61" t="s">
        <v>6</v>
      </c>
      <c r="F951" s="8" t="s">
        <v>88</v>
      </c>
      <c r="G951" s="8" t="s">
        <v>116</v>
      </c>
      <c r="H951" s="8" t="s">
        <v>2</v>
      </c>
      <c r="I951" s="8" t="s">
        <v>464</v>
      </c>
      <c r="J951" s="8" t="s">
        <v>57</v>
      </c>
      <c r="K951" s="12">
        <f>300+40</f>
        <v>340</v>
      </c>
      <c r="L951" s="12">
        <f>300+40</f>
        <v>340</v>
      </c>
      <c r="M951" s="12">
        <f t="shared" si="111"/>
        <v>100</v>
      </c>
      <c r="N951" s="9"/>
    </row>
    <row r="952" spans="1:14" s="28" customFormat="1" ht="51" customHeight="1" x14ac:dyDescent="0.2">
      <c r="A952" s="64"/>
      <c r="B952" s="19" t="s">
        <v>212</v>
      </c>
      <c r="C952" s="62">
        <v>926</v>
      </c>
      <c r="D952" s="61" t="s">
        <v>17</v>
      </c>
      <c r="E952" s="61" t="s">
        <v>6</v>
      </c>
      <c r="F952" s="8" t="s">
        <v>88</v>
      </c>
      <c r="G952" s="63">
        <v>2</v>
      </c>
      <c r="H952" s="5" t="s">
        <v>557</v>
      </c>
      <c r="I952" s="5" t="s">
        <v>557</v>
      </c>
      <c r="J952" s="40" t="s">
        <v>557</v>
      </c>
      <c r="K952" s="12">
        <f t="shared" ref="K952:L954" si="115">K953</f>
        <v>3622.7000000000003</v>
      </c>
      <c r="L952" s="12">
        <f t="shared" si="115"/>
        <v>3044.8</v>
      </c>
      <c r="M952" s="12">
        <f t="shared" si="111"/>
        <v>84.047809644740113</v>
      </c>
      <c r="N952" s="9"/>
    </row>
    <row r="953" spans="1:14" s="28" customFormat="1" ht="111.75" customHeight="1" x14ac:dyDescent="0.2">
      <c r="A953" s="64"/>
      <c r="B953" s="54" t="s">
        <v>213</v>
      </c>
      <c r="C953" s="62">
        <v>926</v>
      </c>
      <c r="D953" s="61" t="s">
        <v>17</v>
      </c>
      <c r="E953" s="61" t="s">
        <v>6</v>
      </c>
      <c r="F953" s="8" t="s">
        <v>88</v>
      </c>
      <c r="G953" s="63">
        <v>2</v>
      </c>
      <c r="H953" s="8" t="s">
        <v>2</v>
      </c>
      <c r="I953" s="5" t="s">
        <v>557</v>
      </c>
      <c r="J953" s="40" t="s">
        <v>557</v>
      </c>
      <c r="K953" s="12">
        <f t="shared" si="115"/>
        <v>3622.7000000000003</v>
      </c>
      <c r="L953" s="12">
        <f t="shared" si="115"/>
        <v>3044.8</v>
      </c>
      <c r="M953" s="12">
        <f t="shared" si="111"/>
        <v>84.047809644740113</v>
      </c>
      <c r="N953" s="9"/>
    </row>
    <row r="954" spans="1:14" s="28" customFormat="1" ht="62.45" customHeight="1" x14ac:dyDescent="0.2">
      <c r="A954" s="64"/>
      <c r="B954" s="19" t="s">
        <v>234</v>
      </c>
      <c r="C954" s="62">
        <v>926</v>
      </c>
      <c r="D954" s="61" t="s">
        <v>17</v>
      </c>
      <c r="E954" s="61" t="s">
        <v>6</v>
      </c>
      <c r="F954" s="8" t="s">
        <v>88</v>
      </c>
      <c r="G954" s="63">
        <v>2</v>
      </c>
      <c r="H954" s="8" t="s">
        <v>2</v>
      </c>
      <c r="I954" s="8" t="s">
        <v>214</v>
      </c>
      <c r="J954" s="40" t="s">
        <v>557</v>
      </c>
      <c r="K954" s="12">
        <f t="shared" si="115"/>
        <v>3622.7000000000003</v>
      </c>
      <c r="L954" s="12">
        <f t="shared" si="115"/>
        <v>3044.8</v>
      </c>
      <c r="M954" s="12">
        <f t="shared" si="111"/>
        <v>84.047809644740113</v>
      </c>
      <c r="N954" s="9"/>
    </row>
    <row r="955" spans="1:14" s="28" customFormat="1" ht="31.9" customHeight="1" x14ac:dyDescent="0.2">
      <c r="A955" s="64"/>
      <c r="B955" s="19" t="s">
        <v>164</v>
      </c>
      <c r="C955" s="62">
        <v>926</v>
      </c>
      <c r="D955" s="61" t="s">
        <v>17</v>
      </c>
      <c r="E955" s="61" t="s">
        <v>6</v>
      </c>
      <c r="F955" s="8" t="s">
        <v>88</v>
      </c>
      <c r="G955" s="63">
        <v>2</v>
      </c>
      <c r="H955" s="8" t="s">
        <v>2</v>
      </c>
      <c r="I955" s="8" t="s">
        <v>214</v>
      </c>
      <c r="J955" s="8" t="s">
        <v>57</v>
      </c>
      <c r="K955" s="12">
        <f>109+139+1062.1+157.7+330.5+2567.3-250-261.4-231.5</f>
        <v>3622.7000000000003</v>
      </c>
      <c r="L955" s="12">
        <v>3044.8</v>
      </c>
      <c r="M955" s="12">
        <f t="shared" si="111"/>
        <v>84.047809644740113</v>
      </c>
      <c r="N955" s="9"/>
    </row>
    <row r="956" spans="1:14" s="28" customFormat="1" ht="30.75" customHeight="1" x14ac:dyDescent="0.2">
      <c r="A956" s="64">
        <v>11</v>
      </c>
      <c r="B956" s="55" t="s">
        <v>32</v>
      </c>
      <c r="C956" s="61">
        <v>929</v>
      </c>
      <c r="D956" s="40" t="s">
        <v>557</v>
      </c>
      <c r="E956" s="40" t="s">
        <v>557</v>
      </c>
      <c r="F956" s="5" t="s">
        <v>557</v>
      </c>
      <c r="G956" s="40" t="s">
        <v>557</v>
      </c>
      <c r="H956" s="5" t="s">
        <v>557</v>
      </c>
      <c r="I956" s="5" t="s">
        <v>557</v>
      </c>
      <c r="J956" s="40" t="s">
        <v>557</v>
      </c>
      <c r="K956" s="12">
        <f>SUM(K972+K957+K965)</f>
        <v>262864.7</v>
      </c>
      <c r="L956" s="12">
        <f>SUM(L972+L957+L965)</f>
        <v>262306.7</v>
      </c>
      <c r="M956" s="12">
        <f t="shared" si="111"/>
        <v>99.787723494253882</v>
      </c>
      <c r="N956" s="9"/>
    </row>
    <row r="957" spans="1:14" s="28" customFormat="1" ht="34.5" customHeight="1" x14ac:dyDescent="0.2">
      <c r="A957" s="64"/>
      <c r="B957" s="19" t="s">
        <v>14</v>
      </c>
      <c r="C957" s="62">
        <v>929</v>
      </c>
      <c r="D957" s="8" t="s">
        <v>5</v>
      </c>
      <c r="E957" s="40" t="s">
        <v>557</v>
      </c>
      <c r="F957" s="5" t="s">
        <v>557</v>
      </c>
      <c r="G957" s="40" t="s">
        <v>557</v>
      </c>
      <c r="H957" s="5" t="s">
        <v>557</v>
      </c>
      <c r="I957" s="5" t="s">
        <v>557</v>
      </c>
      <c r="J957" s="40" t="s">
        <v>557</v>
      </c>
      <c r="K957" s="12">
        <f>SUM(K958)</f>
        <v>357.5</v>
      </c>
      <c r="L957" s="12">
        <f>SUM(L958)</f>
        <v>357.5</v>
      </c>
      <c r="M957" s="12">
        <f t="shared" si="111"/>
        <v>100</v>
      </c>
      <c r="N957" s="9"/>
    </row>
    <row r="958" spans="1:14" s="28" customFormat="1" ht="33" customHeight="1" x14ac:dyDescent="0.2">
      <c r="A958" s="64"/>
      <c r="B958" s="19" t="s">
        <v>178</v>
      </c>
      <c r="C958" s="62">
        <v>929</v>
      </c>
      <c r="D958" s="61" t="s">
        <v>5</v>
      </c>
      <c r="E958" s="61" t="s">
        <v>10</v>
      </c>
      <c r="F958" s="5" t="s">
        <v>557</v>
      </c>
      <c r="G958" s="40" t="s">
        <v>557</v>
      </c>
      <c r="H958" s="5" t="s">
        <v>557</v>
      </c>
      <c r="I958" s="5" t="s">
        <v>557</v>
      </c>
      <c r="J958" s="40" t="s">
        <v>557</v>
      </c>
      <c r="K958" s="12">
        <f t="shared" ref="K958:L961" si="116">K959</f>
        <v>357.5</v>
      </c>
      <c r="L958" s="12">
        <f t="shared" si="116"/>
        <v>357.5</v>
      </c>
      <c r="M958" s="12">
        <f t="shared" si="111"/>
        <v>100</v>
      </c>
      <c r="N958" s="9"/>
    </row>
    <row r="959" spans="1:14" s="28" customFormat="1" ht="33" customHeight="1" x14ac:dyDescent="0.2">
      <c r="A959" s="64"/>
      <c r="B959" s="19" t="s">
        <v>236</v>
      </c>
      <c r="C959" s="62">
        <v>929</v>
      </c>
      <c r="D959" s="61" t="s">
        <v>5</v>
      </c>
      <c r="E959" s="61" t="s">
        <v>10</v>
      </c>
      <c r="F959" s="61" t="s">
        <v>106</v>
      </c>
      <c r="G959" s="40" t="s">
        <v>557</v>
      </c>
      <c r="H959" s="5" t="s">
        <v>557</v>
      </c>
      <c r="I959" s="5" t="s">
        <v>557</v>
      </c>
      <c r="J959" s="40" t="s">
        <v>557</v>
      </c>
      <c r="K959" s="12">
        <f t="shared" si="116"/>
        <v>357.5</v>
      </c>
      <c r="L959" s="12">
        <f t="shared" si="116"/>
        <v>357.5</v>
      </c>
      <c r="M959" s="12">
        <f t="shared" si="111"/>
        <v>100</v>
      </c>
      <c r="N959" s="9"/>
    </row>
    <row r="960" spans="1:14" s="28" customFormat="1" ht="50.45" customHeight="1" x14ac:dyDescent="0.2">
      <c r="A960" s="64"/>
      <c r="B960" s="19" t="s">
        <v>237</v>
      </c>
      <c r="C960" s="62">
        <v>929</v>
      </c>
      <c r="D960" s="61" t="s">
        <v>5</v>
      </c>
      <c r="E960" s="61" t="s">
        <v>10</v>
      </c>
      <c r="F960" s="61" t="s">
        <v>106</v>
      </c>
      <c r="G960" s="62">
        <v>2</v>
      </c>
      <c r="H960" s="5" t="s">
        <v>557</v>
      </c>
      <c r="I960" s="5" t="s">
        <v>557</v>
      </c>
      <c r="J960" s="40" t="s">
        <v>557</v>
      </c>
      <c r="K960" s="12">
        <f t="shared" si="116"/>
        <v>357.5</v>
      </c>
      <c r="L960" s="12">
        <f t="shared" si="116"/>
        <v>357.5</v>
      </c>
      <c r="M960" s="12">
        <f t="shared" si="111"/>
        <v>100</v>
      </c>
      <c r="N960" s="9"/>
    </row>
    <row r="961" spans="1:14" s="28" customFormat="1" ht="63" x14ac:dyDescent="0.2">
      <c r="A961" s="64"/>
      <c r="B961" s="19" t="s">
        <v>179</v>
      </c>
      <c r="C961" s="62">
        <v>929</v>
      </c>
      <c r="D961" s="61" t="s">
        <v>5</v>
      </c>
      <c r="E961" s="61" t="s">
        <v>10</v>
      </c>
      <c r="F961" s="61" t="s">
        <v>106</v>
      </c>
      <c r="G961" s="62">
        <v>2</v>
      </c>
      <c r="H961" s="61" t="s">
        <v>2</v>
      </c>
      <c r="I961" s="5" t="s">
        <v>557</v>
      </c>
      <c r="J961" s="40" t="s">
        <v>557</v>
      </c>
      <c r="K961" s="12">
        <f t="shared" si="116"/>
        <v>357.5</v>
      </c>
      <c r="L961" s="12">
        <f t="shared" si="116"/>
        <v>357.5</v>
      </c>
      <c r="M961" s="12">
        <f t="shared" si="111"/>
        <v>100</v>
      </c>
      <c r="N961" s="9"/>
    </row>
    <row r="962" spans="1:14" s="28" customFormat="1" ht="47.25" x14ac:dyDescent="0.2">
      <c r="A962" s="64"/>
      <c r="B962" s="19" t="s">
        <v>180</v>
      </c>
      <c r="C962" s="62">
        <v>929</v>
      </c>
      <c r="D962" s="61" t="s">
        <v>5</v>
      </c>
      <c r="E962" s="61" t="s">
        <v>10</v>
      </c>
      <c r="F962" s="61" t="s">
        <v>106</v>
      </c>
      <c r="G962" s="62">
        <v>2</v>
      </c>
      <c r="H962" s="61" t="s">
        <v>2</v>
      </c>
      <c r="I962" s="61" t="s">
        <v>183</v>
      </c>
      <c r="J962" s="40" t="s">
        <v>557</v>
      </c>
      <c r="K962" s="12">
        <f>K963+K964</f>
        <v>357.5</v>
      </c>
      <c r="L962" s="12">
        <f>L963+L964</f>
        <v>357.5</v>
      </c>
      <c r="M962" s="12">
        <f t="shared" si="111"/>
        <v>100</v>
      </c>
      <c r="N962" s="9"/>
    </row>
    <row r="963" spans="1:14" s="28" customFormat="1" ht="31.5" x14ac:dyDescent="0.2">
      <c r="A963" s="64"/>
      <c r="B963" s="19" t="s">
        <v>164</v>
      </c>
      <c r="C963" s="62">
        <v>929</v>
      </c>
      <c r="D963" s="61" t="s">
        <v>5</v>
      </c>
      <c r="E963" s="61" t="s">
        <v>10</v>
      </c>
      <c r="F963" s="61" t="s">
        <v>106</v>
      </c>
      <c r="G963" s="62">
        <v>2</v>
      </c>
      <c r="H963" s="61" t="s">
        <v>2</v>
      </c>
      <c r="I963" s="61" t="s">
        <v>183</v>
      </c>
      <c r="J963" s="61" t="s">
        <v>57</v>
      </c>
      <c r="K963" s="12">
        <f>42.5+300</f>
        <v>342.5</v>
      </c>
      <c r="L963" s="12">
        <v>342.5</v>
      </c>
      <c r="M963" s="12">
        <f t="shared" si="111"/>
        <v>100</v>
      </c>
      <c r="N963" s="9"/>
    </row>
    <row r="964" spans="1:14" s="28" customFormat="1" ht="19.5" customHeight="1" x14ac:dyDescent="0.2">
      <c r="A964" s="64"/>
      <c r="B964" s="19" t="s">
        <v>65</v>
      </c>
      <c r="C964" s="62">
        <v>929</v>
      </c>
      <c r="D964" s="61" t="s">
        <v>5</v>
      </c>
      <c r="E964" s="61" t="s">
        <v>10</v>
      </c>
      <c r="F964" s="61" t="s">
        <v>106</v>
      </c>
      <c r="G964" s="62">
        <v>2</v>
      </c>
      <c r="H964" s="61" t="s">
        <v>2</v>
      </c>
      <c r="I964" s="61" t="s">
        <v>183</v>
      </c>
      <c r="J964" s="61" t="s">
        <v>66</v>
      </c>
      <c r="K964" s="12">
        <v>15</v>
      </c>
      <c r="L964" s="12">
        <v>15</v>
      </c>
      <c r="M964" s="12">
        <f t="shared" si="111"/>
        <v>100</v>
      </c>
      <c r="N964" s="9"/>
    </row>
    <row r="965" spans="1:14" s="28" customFormat="1" x14ac:dyDescent="0.2">
      <c r="A965" s="64"/>
      <c r="B965" s="19" t="s">
        <v>18</v>
      </c>
      <c r="C965" s="62">
        <v>929</v>
      </c>
      <c r="D965" s="61" t="s">
        <v>8</v>
      </c>
      <c r="E965" s="40" t="s">
        <v>557</v>
      </c>
      <c r="F965" s="5" t="s">
        <v>557</v>
      </c>
      <c r="G965" s="40" t="s">
        <v>557</v>
      </c>
      <c r="H965" s="5" t="s">
        <v>557</v>
      </c>
      <c r="I965" s="5" t="s">
        <v>557</v>
      </c>
      <c r="J965" s="40" t="s">
        <v>557</v>
      </c>
      <c r="K965" s="12">
        <f>SUM(K966)</f>
        <v>9</v>
      </c>
      <c r="L965" s="12">
        <f>SUM(L966)</f>
        <v>8</v>
      </c>
      <c r="M965" s="12">
        <f t="shared" si="111"/>
        <v>88.888888888888886</v>
      </c>
      <c r="N965" s="9"/>
    </row>
    <row r="966" spans="1:14" s="28" customFormat="1" ht="19.149999999999999" customHeight="1" x14ac:dyDescent="0.2">
      <c r="A966" s="64"/>
      <c r="B966" s="19" t="s">
        <v>375</v>
      </c>
      <c r="C966" s="62">
        <v>929</v>
      </c>
      <c r="D966" s="61" t="s">
        <v>8</v>
      </c>
      <c r="E966" s="8" t="s">
        <v>7</v>
      </c>
      <c r="F966" s="5" t="s">
        <v>557</v>
      </c>
      <c r="G966" s="40" t="s">
        <v>557</v>
      </c>
      <c r="H966" s="5" t="s">
        <v>557</v>
      </c>
      <c r="I966" s="5" t="s">
        <v>557</v>
      </c>
      <c r="J966" s="40" t="s">
        <v>557</v>
      </c>
      <c r="K966" s="12">
        <f t="shared" ref="K966:L969" si="117">SUM(K967)</f>
        <v>9</v>
      </c>
      <c r="L966" s="12">
        <f t="shared" si="117"/>
        <v>8</v>
      </c>
      <c r="M966" s="12">
        <f t="shared" si="111"/>
        <v>88.888888888888886</v>
      </c>
      <c r="N966" s="9"/>
    </row>
    <row r="967" spans="1:14" s="28" customFormat="1" ht="33" customHeight="1" x14ac:dyDescent="0.2">
      <c r="A967" s="64"/>
      <c r="B967" s="55" t="s">
        <v>268</v>
      </c>
      <c r="C967" s="62">
        <v>929</v>
      </c>
      <c r="D967" s="8" t="s">
        <v>8</v>
      </c>
      <c r="E967" s="8" t="s">
        <v>7</v>
      </c>
      <c r="F967" s="8" t="s">
        <v>7</v>
      </c>
      <c r="G967" s="40" t="s">
        <v>557</v>
      </c>
      <c r="H967" s="5" t="s">
        <v>557</v>
      </c>
      <c r="I967" s="5" t="s">
        <v>557</v>
      </c>
      <c r="J967" s="40" t="s">
        <v>557</v>
      </c>
      <c r="K967" s="12">
        <f t="shared" si="117"/>
        <v>9</v>
      </c>
      <c r="L967" s="12">
        <f t="shared" si="117"/>
        <v>8</v>
      </c>
      <c r="M967" s="12">
        <f t="shared" si="111"/>
        <v>88.888888888888886</v>
      </c>
      <c r="N967" s="9"/>
    </row>
    <row r="968" spans="1:14" s="28" customFormat="1" ht="63" x14ac:dyDescent="0.2">
      <c r="A968" s="64"/>
      <c r="B968" s="55" t="s">
        <v>273</v>
      </c>
      <c r="C968" s="62">
        <v>929</v>
      </c>
      <c r="D968" s="8" t="s">
        <v>8</v>
      </c>
      <c r="E968" s="8" t="s">
        <v>7</v>
      </c>
      <c r="F968" s="8" t="s">
        <v>7</v>
      </c>
      <c r="G968" s="8" t="s">
        <v>116</v>
      </c>
      <c r="H968" s="5" t="s">
        <v>557</v>
      </c>
      <c r="I968" s="5" t="s">
        <v>557</v>
      </c>
      <c r="J968" s="40" t="s">
        <v>557</v>
      </c>
      <c r="K968" s="12">
        <f t="shared" si="117"/>
        <v>9</v>
      </c>
      <c r="L968" s="12">
        <f t="shared" si="117"/>
        <v>8</v>
      </c>
      <c r="M968" s="12">
        <f t="shared" si="111"/>
        <v>88.888888888888886</v>
      </c>
      <c r="N968" s="9"/>
    </row>
    <row r="969" spans="1:14" s="28" customFormat="1" ht="48.75" customHeight="1" x14ac:dyDescent="0.2">
      <c r="A969" s="64"/>
      <c r="B969" s="55" t="s">
        <v>159</v>
      </c>
      <c r="C969" s="62">
        <v>929</v>
      </c>
      <c r="D969" s="8" t="s">
        <v>8</v>
      </c>
      <c r="E969" s="8" t="s">
        <v>7</v>
      </c>
      <c r="F969" s="8" t="s">
        <v>7</v>
      </c>
      <c r="G969" s="8" t="s">
        <v>116</v>
      </c>
      <c r="H969" s="8" t="s">
        <v>2</v>
      </c>
      <c r="I969" s="5" t="s">
        <v>557</v>
      </c>
      <c r="J969" s="40" t="s">
        <v>557</v>
      </c>
      <c r="K969" s="12">
        <f t="shared" si="117"/>
        <v>9</v>
      </c>
      <c r="L969" s="12">
        <f t="shared" si="117"/>
        <v>8</v>
      </c>
      <c r="M969" s="12">
        <f t="shared" si="111"/>
        <v>88.888888888888886</v>
      </c>
      <c r="N969" s="9"/>
    </row>
    <row r="970" spans="1:14" s="28" customFormat="1" ht="35.25" customHeight="1" x14ac:dyDescent="0.2">
      <c r="A970" s="64"/>
      <c r="B970" s="19" t="s">
        <v>377</v>
      </c>
      <c r="C970" s="62">
        <v>929</v>
      </c>
      <c r="D970" s="8" t="s">
        <v>8</v>
      </c>
      <c r="E970" s="8" t="s">
        <v>7</v>
      </c>
      <c r="F970" s="8" t="s">
        <v>7</v>
      </c>
      <c r="G970" s="8" t="s">
        <v>116</v>
      </c>
      <c r="H970" s="8" t="s">
        <v>2</v>
      </c>
      <c r="I970" s="8" t="s">
        <v>376</v>
      </c>
      <c r="J970" s="40" t="s">
        <v>557</v>
      </c>
      <c r="K970" s="12">
        <f>SUM(K971)</f>
        <v>9</v>
      </c>
      <c r="L970" s="12">
        <f>SUM(L971)</f>
        <v>8</v>
      </c>
      <c r="M970" s="12">
        <f t="shared" si="111"/>
        <v>88.888888888888886</v>
      </c>
      <c r="N970" s="9"/>
    </row>
    <row r="971" spans="1:14" s="28" customFormat="1" ht="33" customHeight="1" x14ac:dyDescent="0.2">
      <c r="A971" s="64"/>
      <c r="B971" s="19" t="s">
        <v>164</v>
      </c>
      <c r="C971" s="62">
        <v>929</v>
      </c>
      <c r="D971" s="8" t="s">
        <v>8</v>
      </c>
      <c r="E971" s="8" t="s">
        <v>7</v>
      </c>
      <c r="F971" s="8" t="s">
        <v>7</v>
      </c>
      <c r="G971" s="8" t="s">
        <v>116</v>
      </c>
      <c r="H971" s="8" t="s">
        <v>2</v>
      </c>
      <c r="I971" s="8" t="s">
        <v>376</v>
      </c>
      <c r="J971" s="61" t="s">
        <v>57</v>
      </c>
      <c r="K971" s="12">
        <v>9</v>
      </c>
      <c r="L971" s="12">
        <v>8</v>
      </c>
      <c r="M971" s="12">
        <f t="shared" si="111"/>
        <v>88.888888888888886</v>
      </c>
      <c r="N971" s="9"/>
    </row>
    <row r="972" spans="1:14" s="28" customFormat="1" ht="17.45" customHeight="1" x14ac:dyDescent="0.2">
      <c r="A972" s="64"/>
      <c r="B972" s="55" t="s">
        <v>75</v>
      </c>
      <c r="C972" s="61" t="s">
        <v>31</v>
      </c>
      <c r="D972" s="8" t="s">
        <v>23</v>
      </c>
      <c r="E972" s="40" t="s">
        <v>557</v>
      </c>
      <c r="F972" s="5" t="s">
        <v>557</v>
      </c>
      <c r="G972" s="40" t="s">
        <v>557</v>
      </c>
      <c r="H972" s="5" t="s">
        <v>557</v>
      </c>
      <c r="I972" s="5" t="s">
        <v>557</v>
      </c>
      <c r="J972" s="40" t="s">
        <v>557</v>
      </c>
      <c r="K972" s="12">
        <f>SUM(K973+K1019)</f>
        <v>262498.2</v>
      </c>
      <c r="L972" s="12">
        <f>SUM(L973+L1019)</f>
        <v>261941.2</v>
      </c>
      <c r="M972" s="12">
        <f t="shared" si="111"/>
        <v>99.787808068779142</v>
      </c>
      <c r="N972" s="9"/>
    </row>
    <row r="973" spans="1:14" s="28" customFormat="1" ht="15" customHeight="1" x14ac:dyDescent="0.2">
      <c r="A973" s="64"/>
      <c r="B973" s="55" t="s">
        <v>418</v>
      </c>
      <c r="C973" s="61">
        <v>929</v>
      </c>
      <c r="D973" s="8" t="s">
        <v>23</v>
      </c>
      <c r="E973" s="8" t="s">
        <v>5</v>
      </c>
      <c r="F973" s="5" t="s">
        <v>557</v>
      </c>
      <c r="G973" s="40" t="s">
        <v>557</v>
      </c>
      <c r="H973" s="5" t="s">
        <v>557</v>
      </c>
      <c r="I973" s="5" t="s">
        <v>557</v>
      </c>
      <c r="J973" s="40" t="s">
        <v>557</v>
      </c>
      <c r="K973" s="12">
        <f>SUM(K974+K979+K1004+V1034+K1013)</f>
        <v>256892.9</v>
      </c>
      <c r="L973" s="12">
        <f>SUM(L974+L979+L1004+W1034+L1013)</f>
        <v>256359.30000000002</v>
      </c>
      <c r="M973" s="12">
        <f t="shared" si="111"/>
        <v>99.792286980294136</v>
      </c>
      <c r="N973" s="9"/>
    </row>
    <row r="974" spans="1:14" s="28" customFormat="1" ht="31.9" customHeight="1" x14ac:dyDescent="0.2">
      <c r="A974" s="64"/>
      <c r="B974" s="41" t="s">
        <v>314</v>
      </c>
      <c r="C974" s="61">
        <v>929</v>
      </c>
      <c r="D974" s="8" t="s">
        <v>23</v>
      </c>
      <c r="E974" s="8" t="s">
        <v>5</v>
      </c>
      <c r="F974" s="8" t="s">
        <v>4</v>
      </c>
      <c r="G974" s="40" t="s">
        <v>557</v>
      </c>
      <c r="H974" s="5" t="s">
        <v>557</v>
      </c>
      <c r="I974" s="5" t="s">
        <v>557</v>
      </c>
      <c r="J974" s="40" t="s">
        <v>557</v>
      </c>
      <c r="K974" s="12">
        <f t="shared" ref="K974:L977" si="118">K975</f>
        <v>9739.4</v>
      </c>
      <c r="L974" s="12">
        <f t="shared" si="118"/>
        <v>9739.4</v>
      </c>
      <c r="M974" s="12">
        <f t="shared" si="111"/>
        <v>100</v>
      </c>
      <c r="N974" s="9"/>
    </row>
    <row r="975" spans="1:14" s="28" customFormat="1" ht="35.25" customHeight="1" x14ac:dyDescent="0.2">
      <c r="A975" s="64"/>
      <c r="B975" s="41" t="s">
        <v>136</v>
      </c>
      <c r="C975" s="61">
        <v>929</v>
      </c>
      <c r="D975" s="8" t="s">
        <v>23</v>
      </c>
      <c r="E975" s="8" t="s">
        <v>5</v>
      </c>
      <c r="F975" s="8" t="s">
        <v>4</v>
      </c>
      <c r="G975" s="8" t="s">
        <v>116</v>
      </c>
      <c r="H975" s="5" t="s">
        <v>557</v>
      </c>
      <c r="I975" s="5" t="s">
        <v>557</v>
      </c>
      <c r="J975" s="40" t="s">
        <v>557</v>
      </c>
      <c r="K975" s="12">
        <f t="shared" si="118"/>
        <v>9739.4</v>
      </c>
      <c r="L975" s="12">
        <f t="shared" si="118"/>
        <v>9739.4</v>
      </c>
      <c r="M975" s="12">
        <f t="shared" si="111"/>
        <v>100</v>
      </c>
      <c r="N975" s="9"/>
    </row>
    <row r="976" spans="1:14" s="28" customFormat="1" ht="78.75" x14ac:dyDescent="0.2">
      <c r="A976" s="64"/>
      <c r="B976" s="41" t="s">
        <v>137</v>
      </c>
      <c r="C976" s="61">
        <v>929</v>
      </c>
      <c r="D976" s="8" t="s">
        <v>23</v>
      </c>
      <c r="E976" s="8" t="s">
        <v>5</v>
      </c>
      <c r="F976" s="8" t="s">
        <v>4</v>
      </c>
      <c r="G976" s="8" t="s">
        <v>116</v>
      </c>
      <c r="H976" s="8" t="s">
        <v>2</v>
      </c>
      <c r="I976" s="5" t="s">
        <v>557</v>
      </c>
      <c r="J976" s="40" t="s">
        <v>557</v>
      </c>
      <c r="K976" s="12">
        <f t="shared" si="118"/>
        <v>9739.4</v>
      </c>
      <c r="L976" s="12">
        <f t="shared" si="118"/>
        <v>9739.4</v>
      </c>
      <c r="M976" s="12">
        <f t="shared" si="111"/>
        <v>100</v>
      </c>
      <c r="N976" s="9"/>
    </row>
    <row r="977" spans="1:14" s="28" customFormat="1" ht="35.25" customHeight="1" x14ac:dyDescent="0.2">
      <c r="A977" s="64"/>
      <c r="B977" s="41" t="s">
        <v>351</v>
      </c>
      <c r="C977" s="61">
        <v>929</v>
      </c>
      <c r="D977" s="8" t="s">
        <v>23</v>
      </c>
      <c r="E977" s="8" t="s">
        <v>5</v>
      </c>
      <c r="F977" s="8" t="s">
        <v>4</v>
      </c>
      <c r="G977" s="8" t="s">
        <v>116</v>
      </c>
      <c r="H977" s="8" t="s">
        <v>2</v>
      </c>
      <c r="I977" s="8" t="s">
        <v>313</v>
      </c>
      <c r="J977" s="40" t="s">
        <v>557</v>
      </c>
      <c r="K977" s="12">
        <f t="shared" si="118"/>
        <v>9739.4</v>
      </c>
      <c r="L977" s="12">
        <f t="shared" si="118"/>
        <v>9739.4</v>
      </c>
      <c r="M977" s="12">
        <f t="shared" si="111"/>
        <v>100</v>
      </c>
      <c r="N977" s="9"/>
    </row>
    <row r="978" spans="1:14" s="28" customFormat="1" ht="33" customHeight="1" x14ac:dyDescent="0.2">
      <c r="A978" s="64"/>
      <c r="B978" s="19" t="s">
        <v>315</v>
      </c>
      <c r="C978" s="61">
        <v>929</v>
      </c>
      <c r="D978" s="8" t="s">
        <v>23</v>
      </c>
      <c r="E978" s="8" t="s">
        <v>5</v>
      </c>
      <c r="F978" s="8" t="s">
        <v>4</v>
      </c>
      <c r="G978" s="8" t="s">
        <v>116</v>
      </c>
      <c r="H978" s="8" t="s">
        <v>2</v>
      </c>
      <c r="I978" s="8" t="s">
        <v>313</v>
      </c>
      <c r="J978" s="61" t="s">
        <v>73</v>
      </c>
      <c r="K978" s="12">
        <v>9739.4</v>
      </c>
      <c r="L978" s="12">
        <v>9739.4</v>
      </c>
      <c r="M978" s="12">
        <f t="shared" si="111"/>
        <v>100</v>
      </c>
      <c r="N978" s="9"/>
    </row>
    <row r="979" spans="1:14" s="28" customFormat="1" ht="34.9" customHeight="1" x14ac:dyDescent="0.2">
      <c r="A979" s="64"/>
      <c r="B979" s="41" t="s">
        <v>268</v>
      </c>
      <c r="C979" s="61" t="s">
        <v>31</v>
      </c>
      <c r="D979" s="8" t="s">
        <v>23</v>
      </c>
      <c r="E979" s="8" t="s">
        <v>5</v>
      </c>
      <c r="F979" s="8" t="s">
        <v>7</v>
      </c>
      <c r="G979" s="40" t="s">
        <v>557</v>
      </c>
      <c r="H979" s="5" t="s">
        <v>557</v>
      </c>
      <c r="I979" s="5" t="s">
        <v>557</v>
      </c>
      <c r="J979" s="40" t="s">
        <v>557</v>
      </c>
      <c r="K979" s="12">
        <f>SUM(K980+K998)</f>
        <v>197144.69999999998</v>
      </c>
      <c r="L979" s="12">
        <f>SUM(L980+L998)</f>
        <v>197117.1</v>
      </c>
      <c r="M979" s="12">
        <f t="shared" si="111"/>
        <v>99.986000130868362</v>
      </c>
      <c r="N979" s="9"/>
    </row>
    <row r="980" spans="1:14" s="28" customFormat="1" ht="21" customHeight="1" x14ac:dyDescent="0.2">
      <c r="A980" s="64"/>
      <c r="B980" s="19" t="s">
        <v>269</v>
      </c>
      <c r="C980" s="61" t="s">
        <v>31</v>
      </c>
      <c r="D980" s="61" t="s">
        <v>23</v>
      </c>
      <c r="E980" s="8" t="s">
        <v>5</v>
      </c>
      <c r="F980" s="8" t="s">
        <v>7</v>
      </c>
      <c r="G980" s="8" t="s">
        <v>156</v>
      </c>
      <c r="H980" s="5" t="s">
        <v>557</v>
      </c>
      <c r="I980" s="5" t="s">
        <v>557</v>
      </c>
      <c r="J980" s="40" t="s">
        <v>557</v>
      </c>
      <c r="K980" s="12">
        <f>SUM(K981)</f>
        <v>195415.9</v>
      </c>
      <c r="L980" s="12">
        <f>SUM(L981)</f>
        <v>195415.5</v>
      </c>
      <c r="M980" s="12">
        <f t="shared" si="111"/>
        <v>99.999795308365393</v>
      </c>
      <c r="N980" s="9"/>
    </row>
    <row r="981" spans="1:14" s="28" customFormat="1" ht="33.75" customHeight="1" x14ac:dyDescent="0.2">
      <c r="A981" s="64"/>
      <c r="B981" s="19" t="s">
        <v>157</v>
      </c>
      <c r="C981" s="61" t="s">
        <v>31</v>
      </c>
      <c r="D981" s="8" t="s">
        <v>23</v>
      </c>
      <c r="E981" s="8" t="s">
        <v>5</v>
      </c>
      <c r="F981" s="8" t="s">
        <v>7</v>
      </c>
      <c r="G981" s="8" t="s">
        <v>156</v>
      </c>
      <c r="H981" s="8" t="s">
        <v>2</v>
      </c>
      <c r="I981" s="5" t="s">
        <v>557</v>
      </c>
      <c r="J981" s="40" t="s">
        <v>557</v>
      </c>
      <c r="K981" s="12">
        <f>SUM(K982+K988+K984+K994+K990+K992+K996)</f>
        <v>195415.9</v>
      </c>
      <c r="L981" s="12">
        <f>SUM(L982+L988+L984+L994+L990+L992+L996)</f>
        <v>195415.5</v>
      </c>
      <c r="M981" s="12">
        <f t="shared" ref="M981:M1040" si="119">SUM(L981/K981*100)</f>
        <v>99.999795308365393</v>
      </c>
      <c r="N981" s="9"/>
    </row>
    <row r="982" spans="1:14" s="28" customFormat="1" ht="62.25" customHeight="1" x14ac:dyDescent="0.2">
      <c r="A982" s="64"/>
      <c r="B982" s="19" t="s">
        <v>84</v>
      </c>
      <c r="C982" s="61" t="s">
        <v>31</v>
      </c>
      <c r="D982" s="8" t="s">
        <v>23</v>
      </c>
      <c r="E982" s="8" t="s">
        <v>5</v>
      </c>
      <c r="F982" s="8" t="s">
        <v>7</v>
      </c>
      <c r="G982" s="8" t="s">
        <v>156</v>
      </c>
      <c r="H982" s="8" t="s">
        <v>2</v>
      </c>
      <c r="I982" s="8" t="s">
        <v>111</v>
      </c>
      <c r="J982" s="40" t="s">
        <v>557</v>
      </c>
      <c r="K982" s="12">
        <f>SUM(K983)</f>
        <v>177686.7</v>
      </c>
      <c r="L982" s="12">
        <f>SUM(L983)</f>
        <v>177686.7</v>
      </c>
      <c r="M982" s="12">
        <f t="shared" si="119"/>
        <v>100</v>
      </c>
      <c r="N982" s="9"/>
    </row>
    <row r="983" spans="1:14" s="28" customFormat="1" ht="33" customHeight="1" x14ac:dyDescent="0.2">
      <c r="A983" s="64"/>
      <c r="B983" s="44" t="s">
        <v>72</v>
      </c>
      <c r="C983" s="61" t="s">
        <v>31</v>
      </c>
      <c r="D983" s="8" t="s">
        <v>23</v>
      </c>
      <c r="E983" s="8" t="s">
        <v>5</v>
      </c>
      <c r="F983" s="8" t="s">
        <v>7</v>
      </c>
      <c r="G983" s="8" t="s">
        <v>156</v>
      </c>
      <c r="H983" s="8" t="s">
        <v>2</v>
      </c>
      <c r="I983" s="8" t="s">
        <v>111</v>
      </c>
      <c r="J983" s="8" t="s">
        <v>73</v>
      </c>
      <c r="K983" s="12">
        <f>175249.3-140-1365+4137.7-195.3</f>
        <v>177686.7</v>
      </c>
      <c r="L983" s="12">
        <f>175249.3-140-1365+4137.7-195.3</f>
        <v>177686.7</v>
      </c>
      <c r="M983" s="12">
        <f t="shared" si="119"/>
        <v>100</v>
      </c>
      <c r="N983" s="9"/>
    </row>
    <row r="984" spans="1:14" s="28" customFormat="1" ht="64.5" customHeight="1" x14ac:dyDescent="0.2">
      <c r="A984" s="64"/>
      <c r="B984" s="44" t="s">
        <v>270</v>
      </c>
      <c r="C984" s="61" t="s">
        <v>31</v>
      </c>
      <c r="D984" s="8" t="s">
        <v>23</v>
      </c>
      <c r="E984" s="8" t="s">
        <v>5</v>
      </c>
      <c r="F984" s="8" t="s">
        <v>7</v>
      </c>
      <c r="G984" s="8" t="s">
        <v>156</v>
      </c>
      <c r="H984" s="8" t="s">
        <v>2</v>
      </c>
      <c r="I984" s="8" t="s">
        <v>207</v>
      </c>
      <c r="J984" s="40" t="s">
        <v>557</v>
      </c>
      <c r="K984" s="12">
        <f>SUM(K985+K986+K987)</f>
        <v>2631</v>
      </c>
      <c r="L984" s="12">
        <f>SUM(L985+L986+L987)</f>
        <v>2630.7</v>
      </c>
      <c r="M984" s="12">
        <f t="shared" si="119"/>
        <v>99.988597491448118</v>
      </c>
      <c r="N984" s="9"/>
    </row>
    <row r="985" spans="1:14" s="28" customFormat="1" ht="31.5" x14ac:dyDescent="0.2">
      <c r="A985" s="64"/>
      <c r="B985" s="19" t="s">
        <v>164</v>
      </c>
      <c r="C985" s="61" t="s">
        <v>31</v>
      </c>
      <c r="D985" s="8" t="s">
        <v>23</v>
      </c>
      <c r="E985" s="8" t="s">
        <v>5</v>
      </c>
      <c r="F985" s="8" t="s">
        <v>7</v>
      </c>
      <c r="G985" s="8" t="s">
        <v>156</v>
      </c>
      <c r="H985" s="8" t="s">
        <v>2</v>
      </c>
      <c r="I985" s="8" t="s">
        <v>207</v>
      </c>
      <c r="J985" s="8" t="s">
        <v>57</v>
      </c>
      <c r="K985" s="12">
        <f>250+250</f>
        <v>500</v>
      </c>
      <c r="L985" s="12">
        <v>499.7</v>
      </c>
      <c r="M985" s="12">
        <f t="shared" si="119"/>
        <v>99.94</v>
      </c>
      <c r="N985" s="9"/>
    </row>
    <row r="986" spans="1:14" s="28" customFormat="1" ht="19.149999999999999" customHeight="1" x14ac:dyDescent="0.2">
      <c r="A986" s="64"/>
      <c r="B986" s="44" t="s">
        <v>65</v>
      </c>
      <c r="C986" s="61" t="s">
        <v>31</v>
      </c>
      <c r="D986" s="8" t="s">
        <v>23</v>
      </c>
      <c r="E986" s="8" t="s">
        <v>5</v>
      </c>
      <c r="F986" s="8" t="s">
        <v>7</v>
      </c>
      <c r="G986" s="8" t="s">
        <v>156</v>
      </c>
      <c r="H986" s="8" t="s">
        <v>2</v>
      </c>
      <c r="I986" s="8" t="s">
        <v>207</v>
      </c>
      <c r="J986" s="8" t="s">
        <v>66</v>
      </c>
      <c r="K986" s="12">
        <f>748+268</f>
        <v>1016</v>
      </c>
      <c r="L986" s="12">
        <f>748+268</f>
        <v>1016</v>
      </c>
      <c r="M986" s="12">
        <f t="shared" si="119"/>
        <v>100</v>
      </c>
      <c r="N986" s="9"/>
    </row>
    <row r="987" spans="1:14" s="28" customFormat="1" ht="33" customHeight="1" x14ac:dyDescent="0.2">
      <c r="A987" s="64"/>
      <c r="B987" s="44" t="s">
        <v>72</v>
      </c>
      <c r="C987" s="61" t="s">
        <v>31</v>
      </c>
      <c r="D987" s="8" t="s">
        <v>23</v>
      </c>
      <c r="E987" s="8" t="s">
        <v>5</v>
      </c>
      <c r="F987" s="8" t="s">
        <v>7</v>
      </c>
      <c r="G987" s="8" t="s">
        <v>156</v>
      </c>
      <c r="H987" s="8" t="s">
        <v>2</v>
      </c>
      <c r="I987" s="8" t="s">
        <v>207</v>
      </c>
      <c r="J987" s="8" t="s">
        <v>73</v>
      </c>
      <c r="K987" s="12">
        <f>795+320+288.6-288.6</f>
        <v>1115</v>
      </c>
      <c r="L987" s="12">
        <f>795+320+288.6-288.6</f>
        <v>1115</v>
      </c>
      <c r="M987" s="12">
        <f t="shared" si="119"/>
        <v>100</v>
      </c>
      <c r="N987" s="9"/>
    </row>
    <row r="988" spans="1:14" ht="157.5" x14ac:dyDescent="0.2">
      <c r="A988" s="64"/>
      <c r="B988" s="42" t="s">
        <v>363</v>
      </c>
      <c r="C988" s="61" t="s">
        <v>31</v>
      </c>
      <c r="D988" s="8" t="s">
        <v>23</v>
      </c>
      <c r="E988" s="8" t="s">
        <v>5</v>
      </c>
      <c r="F988" s="8" t="s">
        <v>7</v>
      </c>
      <c r="G988" s="8" t="s">
        <v>156</v>
      </c>
      <c r="H988" s="8" t="s">
        <v>2</v>
      </c>
      <c r="I988" s="8" t="s">
        <v>158</v>
      </c>
      <c r="J988" s="40" t="s">
        <v>557</v>
      </c>
      <c r="K988" s="12">
        <f>SUM(K989)</f>
        <v>593.79999999999995</v>
      </c>
      <c r="L988" s="12">
        <f>SUM(L989)</f>
        <v>593.79999999999995</v>
      </c>
      <c r="M988" s="12">
        <f t="shared" si="119"/>
        <v>100</v>
      </c>
    </row>
    <row r="989" spans="1:14" ht="33" customHeight="1" x14ac:dyDescent="0.2">
      <c r="A989" s="64"/>
      <c r="B989" s="44" t="s">
        <v>72</v>
      </c>
      <c r="C989" s="61" t="s">
        <v>31</v>
      </c>
      <c r="D989" s="8" t="s">
        <v>23</v>
      </c>
      <c r="E989" s="8" t="s">
        <v>5</v>
      </c>
      <c r="F989" s="8" t="s">
        <v>7</v>
      </c>
      <c r="G989" s="8" t="s">
        <v>156</v>
      </c>
      <c r="H989" s="8" t="s">
        <v>2</v>
      </c>
      <c r="I989" s="8" t="s">
        <v>158</v>
      </c>
      <c r="J989" s="8" t="s">
        <v>73</v>
      </c>
      <c r="K989" s="12">
        <f>625-187.5+156.3</f>
        <v>593.79999999999995</v>
      </c>
      <c r="L989" s="12">
        <f>625-187.5+156.3</f>
        <v>593.79999999999995</v>
      </c>
      <c r="M989" s="12">
        <f t="shared" si="119"/>
        <v>100</v>
      </c>
    </row>
    <row r="990" spans="1:14" ht="30.6" customHeight="1" x14ac:dyDescent="0.2">
      <c r="A990" s="64"/>
      <c r="B990" s="19" t="s">
        <v>475</v>
      </c>
      <c r="C990" s="61" t="s">
        <v>31</v>
      </c>
      <c r="D990" s="8" t="s">
        <v>23</v>
      </c>
      <c r="E990" s="8" t="s">
        <v>5</v>
      </c>
      <c r="F990" s="8" t="s">
        <v>7</v>
      </c>
      <c r="G990" s="8" t="s">
        <v>156</v>
      </c>
      <c r="H990" s="8" t="s">
        <v>2</v>
      </c>
      <c r="I990" s="8" t="s">
        <v>474</v>
      </c>
      <c r="J990" s="40" t="s">
        <v>557</v>
      </c>
      <c r="K990" s="12">
        <f>SUM(K991)</f>
        <v>300</v>
      </c>
      <c r="L990" s="12">
        <f>SUM(L991)</f>
        <v>300</v>
      </c>
      <c r="M990" s="12">
        <f t="shared" si="119"/>
        <v>100</v>
      </c>
    </row>
    <row r="991" spans="1:14" ht="33.75" customHeight="1" x14ac:dyDescent="0.2">
      <c r="A991" s="64"/>
      <c r="B991" s="44" t="s">
        <v>72</v>
      </c>
      <c r="C991" s="61" t="s">
        <v>31</v>
      </c>
      <c r="D991" s="8" t="s">
        <v>23</v>
      </c>
      <c r="E991" s="8" t="s">
        <v>5</v>
      </c>
      <c r="F991" s="8" t="s">
        <v>7</v>
      </c>
      <c r="G991" s="8" t="s">
        <v>156</v>
      </c>
      <c r="H991" s="8" t="s">
        <v>2</v>
      </c>
      <c r="I991" s="8" t="s">
        <v>474</v>
      </c>
      <c r="J991" s="8" t="s">
        <v>73</v>
      </c>
      <c r="K991" s="12">
        <v>300</v>
      </c>
      <c r="L991" s="12">
        <v>300</v>
      </c>
      <c r="M991" s="12">
        <f t="shared" si="119"/>
        <v>100</v>
      </c>
    </row>
    <row r="992" spans="1:14" ht="126" customHeight="1" x14ac:dyDescent="0.2">
      <c r="A992" s="64"/>
      <c r="B992" s="19" t="s">
        <v>501</v>
      </c>
      <c r="C992" s="61" t="s">
        <v>31</v>
      </c>
      <c r="D992" s="8" t="s">
        <v>23</v>
      </c>
      <c r="E992" s="8" t="s">
        <v>5</v>
      </c>
      <c r="F992" s="8" t="s">
        <v>7</v>
      </c>
      <c r="G992" s="8" t="s">
        <v>156</v>
      </c>
      <c r="H992" s="8" t="s">
        <v>2</v>
      </c>
      <c r="I992" s="8" t="s">
        <v>500</v>
      </c>
      <c r="J992" s="40" t="s">
        <v>557</v>
      </c>
      <c r="K992" s="12">
        <f>K993</f>
        <v>7775.7999999999993</v>
      </c>
      <c r="L992" s="12">
        <f>L993</f>
        <v>7775.7999999999993</v>
      </c>
      <c r="M992" s="12">
        <f t="shared" si="119"/>
        <v>100</v>
      </c>
    </row>
    <row r="993" spans="1:14" ht="36" customHeight="1" x14ac:dyDescent="0.2">
      <c r="A993" s="64"/>
      <c r="B993" s="44" t="s">
        <v>162</v>
      </c>
      <c r="C993" s="61" t="s">
        <v>31</v>
      </c>
      <c r="D993" s="8" t="s">
        <v>23</v>
      </c>
      <c r="E993" s="8" t="s">
        <v>5</v>
      </c>
      <c r="F993" s="8" t="s">
        <v>7</v>
      </c>
      <c r="G993" s="8" t="s">
        <v>156</v>
      </c>
      <c r="H993" s="8" t="s">
        <v>2</v>
      </c>
      <c r="I993" s="8" t="s">
        <v>500</v>
      </c>
      <c r="J993" s="61" t="s">
        <v>73</v>
      </c>
      <c r="K993" s="12">
        <f>3576.9+4198.9</f>
        <v>7775.7999999999993</v>
      </c>
      <c r="L993" s="12">
        <f>3576.9+4198.9</f>
        <v>7775.7999999999993</v>
      </c>
      <c r="M993" s="12">
        <f t="shared" si="119"/>
        <v>100</v>
      </c>
    </row>
    <row r="994" spans="1:14" ht="47.25" x14ac:dyDescent="0.2">
      <c r="A994" s="64"/>
      <c r="B994" s="19" t="s">
        <v>523</v>
      </c>
      <c r="C994" s="61" t="s">
        <v>31</v>
      </c>
      <c r="D994" s="8" t="s">
        <v>23</v>
      </c>
      <c r="E994" s="8" t="s">
        <v>5</v>
      </c>
      <c r="F994" s="8" t="s">
        <v>7</v>
      </c>
      <c r="G994" s="8" t="s">
        <v>156</v>
      </c>
      <c r="H994" s="8" t="s">
        <v>2</v>
      </c>
      <c r="I994" s="8" t="s">
        <v>341</v>
      </c>
      <c r="J994" s="40" t="s">
        <v>557</v>
      </c>
      <c r="K994" s="12">
        <f>K995</f>
        <v>1833.2</v>
      </c>
      <c r="L994" s="12">
        <f>L995</f>
        <v>1833.2</v>
      </c>
      <c r="M994" s="12">
        <f t="shared" si="119"/>
        <v>100</v>
      </c>
    </row>
    <row r="995" spans="1:14" ht="36" customHeight="1" x14ac:dyDescent="0.2">
      <c r="A995" s="64"/>
      <c r="B995" s="44" t="s">
        <v>162</v>
      </c>
      <c r="C995" s="61" t="s">
        <v>31</v>
      </c>
      <c r="D995" s="8" t="s">
        <v>23</v>
      </c>
      <c r="E995" s="8" t="s">
        <v>5</v>
      </c>
      <c r="F995" s="8" t="s">
        <v>7</v>
      </c>
      <c r="G995" s="8" t="s">
        <v>156</v>
      </c>
      <c r="H995" s="8" t="s">
        <v>2</v>
      </c>
      <c r="I995" s="8" t="s">
        <v>341</v>
      </c>
      <c r="J995" s="61" t="s">
        <v>73</v>
      </c>
      <c r="K995" s="12">
        <f>278.6+1268.9+234.3+51.4</f>
        <v>1833.2</v>
      </c>
      <c r="L995" s="12">
        <f>278.6+1268.9+234.3+51.4</f>
        <v>1833.2</v>
      </c>
      <c r="M995" s="12">
        <f t="shared" si="119"/>
        <v>100</v>
      </c>
    </row>
    <row r="996" spans="1:14" ht="141.75" x14ac:dyDescent="0.2">
      <c r="A996" s="64"/>
      <c r="B996" s="19" t="s">
        <v>524</v>
      </c>
      <c r="C996" s="61" t="s">
        <v>31</v>
      </c>
      <c r="D996" s="8" t="s">
        <v>23</v>
      </c>
      <c r="E996" s="8" t="s">
        <v>5</v>
      </c>
      <c r="F996" s="8" t="s">
        <v>7</v>
      </c>
      <c r="G996" s="8" t="s">
        <v>156</v>
      </c>
      <c r="H996" s="8" t="s">
        <v>2</v>
      </c>
      <c r="I996" s="8" t="s">
        <v>470</v>
      </c>
      <c r="J996" s="40" t="s">
        <v>557</v>
      </c>
      <c r="K996" s="12">
        <f>K997</f>
        <v>4595.4000000000005</v>
      </c>
      <c r="L996" s="12">
        <f>L997</f>
        <v>4595.3</v>
      </c>
      <c r="M996" s="12">
        <f t="shared" si="119"/>
        <v>99.997823910867382</v>
      </c>
    </row>
    <row r="997" spans="1:14" ht="36.6" customHeight="1" x14ac:dyDescent="0.2">
      <c r="A997" s="64"/>
      <c r="B997" s="19" t="s">
        <v>162</v>
      </c>
      <c r="C997" s="61" t="s">
        <v>31</v>
      </c>
      <c r="D997" s="8" t="s">
        <v>23</v>
      </c>
      <c r="E997" s="8" t="s">
        <v>5</v>
      </c>
      <c r="F997" s="8" t="s">
        <v>7</v>
      </c>
      <c r="G997" s="8" t="s">
        <v>156</v>
      </c>
      <c r="H997" s="8" t="s">
        <v>2</v>
      </c>
      <c r="I997" s="8" t="s">
        <v>470</v>
      </c>
      <c r="J997" s="61" t="s">
        <v>73</v>
      </c>
      <c r="K997" s="12">
        <f>928.5+4229.7+3576.9-3576.9-461.5-101.3</f>
        <v>4595.4000000000005</v>
      </c>
      <c r="L997" s="12">
        <v>4595.3</v>
      </c>
      <c r="M997" s="12">
        <f t="shared" si="119"/>
        <v>99.997823910867382</v>
      </c>
    </row>
    <row r="998" spans="1:14" s="28" customFormat="1" x14ac:dyDescent="0.2">
      <c r="A998" s="64"/>
      <c r="B998" s="44" t="s">
        <v>271</v>
      </c>
      <c r="C998" s="61" t="s">
        <v>31</v>
      </c>
      <c r="D998" s="8" t="s">
        <v>23</v>
      </c>
      <c r="E998" s="8" t="s">
        <v>5</v>
      </c>
      <c r="F998" s="8" t="s">
        <v>7</v>
      </c>
      <c r="G998" s="8" t="s">
        <v>177</v>
      </c>
      <c r="H998" s="5" t="s">
        <v>557</v>
      </c>
      <c r="I998" s="5" t="s">
        <v>557</v>
      </c>
      <c r="J998" s="40" t="s">
        <v>557</v>
      </c>
      <c r="K998" s="12">
        <f t="shared" ref="K998:L999" si="120">SUM(K999)</f>
        <v>1728.8000000000002</v>
      </c>
      <c r="L998" s="12">
        <f t="shared" si="120"/>
        <v>1701.6</v>
      </c>
      <c r="M998" s="12">
        <f t="shared" si="119"/>
        <v>98.426654326700586</v>
      </c>
      <c r="N998" s="9"/>
    </row>
    <row r="999" spans="1:14" s="28" customFormat="1" ht="49.15" customHeight="1" x14ac:dyDescent="0.2">
      <c r="A999" s="64"/>
      <c r="B999" s="44" t="s">
        <v>208</v>
      </c>
      <c r="C999" s="61" t="s">
        <v>31</v>
      </c>
      <c r="D999" s="8" t="s">
        <v>23</v>
      </c>
      <c r="E999" s="8" t="s">
        <v>5</v>
      </c>
      <c r="F999" s="8" t="s">
        <v>7</v>
      </c>
      <c r="G999" s="8" t="s">
        <v>177</v>
      </c>
      <c r="H999" s="8" t="s">
        <v>2</v>
      </c>
      <c r="I999" s="5" t="s">
        <v>557</v>
      </c>
      <c r="J999" s="40" t="s">
        <v>557</v>
      </c>
      <c r="K999" s="12">
        <f t="shared" si="120"/>
        <v>1728.8000000000002</v>
      </c>
      <c r="L999" s="12">
        <f t="shared" si="120"/>
        <v>1701.6</v>
      </c>
      <c r="M999" s="12">
        <f t="shared" si="119"/>
        <v>98.426654326700586</v>
      </c>
      <c r="N999" s="9"/>
    </row>
    <row r="1000" spans="1:14" s="28" customFormat="1" ht="63" x14ac:dyDescent="0.2">
      <c r="A1000" s="64"/>
      <c r="B1000" s="44" t="s">
        <v>272</v>
      </c>
      <c r="C1000" s="61" t="s">
        <v>31</v>
      </c>
      <c r="D1000" s="8" t="s">
        <v>23</v>
      </c>
      <c r="E1000" s="8" t="s">
        <v>5</v>
      </c>
      <c r="F1000" s="8" t="s">
        <v>7</v>
      </c>
      <c r="G1000" s="8" t="s">
        <v>177</v>
      </c>
      <c r="H1000" s="8" t="s">
        <v>2</v>
      </c>
      <c r="I1000" s="8" t="s">
        <v>209</v>
      </c>
      <c r="J1000" s="40" t="s">
        <v>557</v>
      </c>
      <c r="K1000" s="12">
        <f>SUM(K1001:K1003)</f>
        <v>1728.8000000000002</v>
      </c>
      <c r="L1000" s="12">
        <f>SUM(L1001:L1003)</f>
        <v>1701.6</v>
      </c>
      <c r="M1000" s="12">
        <f t="shared" si="119"/>
        <v>98.426654326700586</v>
      </c>
      <c r="N1000" s="9"/>
    </row>
    <row r="1001" spans="1:14" s="28" customFormat="1" ht="31.5" x14ac:dyDescent="0.2">
      <c r="A1001" s="64"/>
      <c r="B1001" s="19" t="s">
        <v>164</v>
      </c>
      <c r="C1001" s="61" t="s">
        <v>31</v>
      </c>
      <c r="D1001" s="8" t="s">
        <v>23</v>
      </c>
      <c r="E1001" s="8" t="s">
        <v>5</v>
      </c>
      <c r="F1001" s="8" t="s">
        <v>7</v>
      </c>
      <c r="G1001" s="8" t="s">
        <v>177</v>
      </c>
      <c r="H1001" s="8" t="s">
        <v>2</v>
      </c>
      <c r="I1001" s="8" t="s">
        <v>209</v>
      </c>
      <c r="J1001" s="8" t="s">
        <v>57</v>
      </c>
      <c r="K1001" s="12">
        <f>682.2+82+50+65+682.2-0.1-50</f>
        <v>1511.3000000000002</v>
      </c>
      <c r="L1001" s="12">
        <v>1484.1</v>
      </c>
      <c r="M1001" s="12">
        <f t="shared" si="119"/>
        <v>98.200224971878498</v>
      </c>
      <c r="N1001" s="9"/>
    </row>
    <row r="1002" spans="1:14" s="28" customFormat="1" ht="19.899999999999999" customHeight="1" x14ac:dyDescent="0.2">
      <c r="A1002" s="64"/>
      <c r="B1002" s="19" t="s">
        <v>65</v>
      </c>
      <c r="C1002" s="61" t="s">
        <v>31</v>
      </c>
      <c r="D1002" s="8" t="s">
        <v>23</v>
      </c>
      <c r="E1002" s="8" t="s">
        <v>5</v>
      </c>
      <c r="F1002" s="8" t="s">
        <v>7</v>
      </c>
      <c r="G1002" s="8" t="s">
        <v>177</v>
      </c>
      <c r="H1002" s="8" t="s">
        <v>2</v>
      </c>
      <c r="I1002" s="8" t="s">
        <v>209</v>
      </c>
      <c r="J1002" s="8" t="s">
        <v>66</v>
      </c>
      <c r="K1002" s="12">
        <f>20+50</f>
        <v>70</v>
      </c>
      <c r="L1002" s="12">
        <f>20+50</f>
        <v>70</v>
      </c>
      <c r="M1002" s="12">
        <f t="shared" si="119"/>
        <v>100</v>
      </c>
      <c r="N1002" s="9"/>
    </row>
    <row r="1003" spans="1:14" ht="31.5" customHeight="1" x14ac:dyDescent="0.2">
      <c r="A1003" s="64"/>
      <c r="B1003" s="44" t="s">
        <v>162</v>
      </c>
      <c r="C1003" s="61" t="s">
        <v>31</v>
      </c>
      <c r="D1003" s="8" t="s">
        <v>23</v>
      </c>
      <c r="E1003" s="8" t="s">
        <v>5</v>
      </c>
      <c r="F1003" s="8" t="s">
        <v>7</v>
      </c>
      <c r="G1003" s="8" t="s">
        <v>177</v>
      </c>
      <c r="H1003" s="8" t="s">
        <v>2</v>
      </c>
      <c r="I1003" s="8" t="s">
        <v>209</v>
      </c>
      <c r="J1003" s="8" t="s">
        <v>73</v>
      </c>
      <c r="K1003" s="12">
        <v>147.5</v>
      </c>
      <c r="L1003" s="12">
        <v>147.5</v>
      </c>
      <c r="M1003" s="12">
        <f t="shared" si="119"/>
        <v>100</v>
      </c>
    </row>
    <row r="1004" spans="1:14" ht="47.25" x14ac:dyDescent="0.2">
      <c r="A1004" s="64"/>
      <c r="B1004" s="41" t="s">
        <v>318</v>
      </c>
      <c r="C1004" s="61" t="s">
        <v>31</v>
      </c>
      <c r="D1004" s="8" t="s">
        <v>23</v>
      </c>
      <c r="E1004" s="8" t="s">
        <v>5</v>
      </c>
      <c r="F1004" s="8" t="s">
        <v>41</v>
      </c>
      <c r="G1004" s="40" t="s">
        <v>557</v>
      </c>
      <c r="H1004" s="5" t="s">
        <v>557</v>
      </c>
      <c r="I1004" s="5" t="s">
        <v>557</v>
      </c>
      <c r="J1004" s="40" t="s">
        <v>557</v>
      </c>
      <c r="K1004" s="12">
        <f>K1005+K1009</f>
        <v>16119.2</v>
      </c>
      <c r="L1004" s="12">
        <f>L1005+L1009</f>
        <v>16119.2</v>
      </c>
      <c r="M1004" s="12">
        <f t="shared" si="119"/>
        <v>100</v>
      </c>
    </row>
    <row r="1005" spans="1:14" ht="19.149999999999999" customHeight="1" x14ac:dyDescent="0.2">
      <c r="A1005" s="64"/>
      <c r="B1005" s="41" t="s">
        <v>253</v>
      </c>
      <c r="C1005" s="61" t="s">
        <v>31</v>
      </c>
      <c r="D1005" s="8" t="s">
        <v>23</v>
      </c>
      <c r="E1005" s="61" t="s">
        <v>5</v>
      </c>
      <c r="F1005" s="61" t="s">
        <v>41</v>
      </c>
      <c r="G1005" s="62">
        <v>2</v>
      </c>
      <c r="H1005" s="5" t="s">
        <v>557</v>
      </c>
      <c r="I1005" s="5" t="s">
        <v>557</v>
      </c>
      <c r="J1005" s="40" t="s">
        <v>557</v>
      </c>
      <c r="K1005" s="12">
        <f t="shared" ref="K1005:L1007" si="121">K1006</f>
        <v>1249.5999999999999</v>
      </c>
      <c r="L1005" s="12">
        <f t="shared" si="121"/>
        <v>1249.5999999999999</v>
      </c>
      <c r="M1005" s="12">
        <f t="shared" si="119"/>
        <v>100</v>
      </c>
    </row>
    <row r="1006" spans="1:14" ht="32.25" customHeight="1" x14ac:dyDescent="0.2">
      <c r="A1006" s="64"/>
      <c r="B1006" s="41" t="s">
        <v>317</v>
      </c>
      <c r="C1006" s="61" t="s">
        <v>31</v>
      </c>
      <c r="D1006" s="8" t="s">
        <v>23</v>
      </c>
      <c r="E1006" s="61" t="s">
        <v>5</v>
      </c>
      <c r="F1006" s="61" t="s">
        <v>41</v>
      </c>
      <c r="G1006" s="62">
        <v>2</v>
      </c>
      <c r="H1006" s="61" t="s">
        <v>4</v>
      </c>
      <c r="I1006" s="5" t="s">
        <v>557</v>
      </c>
      <c r="J1006" s="40" t="s">
        <v>557</v>
      </c>
      <c r="K1006" s="12">
        <f t="shared" si="121"/>
        <v>1249.5999999999999</v>
      </c>
      <c r="L1006" s="12">
        <f t="shared" si="121"/>
        <v>1249.5999999999999</v>
      </c>
      <c r="M1006" s="12">
        <f t="shared" si="119"/>
        <v>100</v>
      </c>
    </row>
    <row r="1007" spans="1:14" ht="32.25" customHeight="1" x14ac:dyDescent="0.2">
      <c r="A1007" s="64"/>
      <c r="B1007" s="41" t="s">
        <v>352</v>
      </c>
      <c r="C1007" s="61" t="s">
        <v>31</v>
      </c>
      <c r="D1007" s="8" t="s">
        <v>23</v>
      </c>
      <c r="E1007" s="61" t="s">
        <v>5</v>
      </c>
      <c r="F1007" s="61" t="s">
        <v>41</v>
      </c>
      <c r="G1007" s="62">
        <v>2</v>
      </c>
      <c r="H1007" s="61" t="s">
        <v>4</v>
      </c>
      <c r="I1007" s="61" t="s">
        <v>316</v>
      </c>
      <c r="J1007" s="40" t="s">
        <v>557</v>
      </c>
      <c r="K1007" s="12">
        <f t="shared" si="121"/>
        <v>1249.5999999999999</v>
      </c>
      <c r="L1007" s="12">
        <f t="shared" si="121"/>
        <v>1249.5999999999999</v>
      </c>
      <c r="M1007" s="12">
        <f t="shared" si="119"/>
        <v>100</v>
      </c>
    </row>
    <row r="1008" spans="1:14" ht="32.25" customHeight="1" x14ac:dyDescent="0.2">
      <c r="A1008" s="64"/>
      <c r="B1008" s="19" t="s">
        <v>72</v>
      </c>
      <c r="C1008" s="61" t="s">
        <v>31</v>
      </c>
      <c r="D1008" s="8" t="s">
        <v>23</v>
      </c>
      <c r="E1008" s="61" t="s">
        <v>5</v>
      </c>
      <c r="F1008" s="61" t="s">
        <v>41</v>
      </c>
      <c r="G1008" s="62">
        <v>2</v>
      </c>
      <c r="H1008" s="61" t="s">
        <v>4</v>
      </c>
      <c r="I1008" s="61" t="s">
        <v>316</v>
      </c>
      <c r="J1008" s="61" t="s">
        <v>73</v>
      </c>
      <c r="K1008" s="12">
        <f>140+582.1+332.2+195.3</f>
        <v>1249.5999999999999</v>
      </c>
      <c r="L1008" s="12">
        <f>140+582.1+332.2+195.3</f>
        <v>1249.5999999999999</v>
      </c>
      <c r="M1008" s="12">
        <f t="shared" si="119"/>
        <v>100</v>
      </c>
    </row>
    <row r="1009" spans="1:24" ht="47.25" x14ac:dyDescent="0.2">
      <c r="A1009" s="64"/>
      <c r="B1009" s="41" t="s">
        <v>197</v>
      </c>
      <c r="C1009" s="61" t="s">
        <v>31</v>
      </c>
      <c r="D1009" s="8" t="s">
        <v>23</v>
      </c>
      <c r="E1009" s="8" t="s">
        <v>5</v>
      </c>
      <c r="F1009" s="8" t="s">
        <v>41</v>
      </c>
      <c r="G1009" s="8" t="s">
        <v>189</v>
      </c>
      <c r="H1009" s="5" t="s">
        <v>557</v>
      </c>
      <c r="I1009" s="5" t="s">
        <v>557</v>
      </c>
      <c r="J1009" s="40" t="s">
        <v>557</v>
      </c>
      <c r="K1009" s="12">
        <f t="shared" ref="K1009:L1011" si="122">K1010</f>
        <v>14869.6</v>
      </c>
      <c r="L1009" s="12">
        <f t="shared" si="122"/>
        <v>14869.6</v>
      </c>
      <c r="M1009" s="12">
        <f t="shared" si="119"/>
        <v>100</v>
      </c>
    </row>
    <row r="1010" spans="1:24" s="9" customFormat="1" ht="47.25" x14ac:dyDescent="0.2">
      <c r="A1010" s="64"/>
      <c r="B1010" s="41" t="s">
        <v>188</v>
      </c>
      <c r="C1010" s="61" t="s">
        <v>31</v>
      </c>
      <c r="D1010" s="8" t="s">
        <v>23</v>
      </c>
      <c r="E1010" s="8" t="s">
        <v>5</v>
      </c>
      <c r="F1010" s="8" t="s">
        <v>41</v>
      </c>
      <c r="G1010" s="8" t="s">
        <v>189</v>
      </c>
      <c r="H1010" s="8" t="s">
        <v>2</v>
      </c>
      <c r="I1010" s="5" t="s">
        <v>557</v>
      </c>
      <c r="J1010" s="40" t="s">
        <v>557</v>
      </c>
      <c r="K1010" s="12">
        <f t="shared" si="122"/>
        <v>14869.6</v>
      </c>
      <c r="L1010" s="12">
        <f t="shared" si="122"/>
        <v>14869.6</v>
      </c>
      <c r="M1010" s="12">
        <f t="shared" si="119"/>
        <v>100</v>
      </c>
      <c r="O1010" s="7"/>
      <c r="P1010" s="7"/>
      <c r="Q1010" s="7"/>
      <c r="R1010" s="7"/>
      <c r="S1010" s="7"/>
      <c r="T1010" s="7"/>
      <c r="U1010" s="7"/>
      <c r="V1010" s="7"/>
      <c r="W1010" s="7"/>
      <c r="X1010" s="7"/>
    </row>
    <row r="1011" spans="1:24" s="9" customFormat="1" ht="34.5" customHeight="1" x14ac:dyDescent="0.2">
      <c r="A1011" s="64"/>
      <c r="B1011" s="41" t="s">
        <v>261</v>
      </c>
      <c r="C1011" s="61" t="s">
        <v>31</v>
      </c>
      <c r="D1011" s="8" t="s">
        <v>23</v>
      </c>
      <c r="E1011" s="8" t="s">
        <v>5</v>
      </c>
      <c r="F1011" s="8" t="s">
        <v>41</v>
      </c>
      <c r="G1011" s="8" t="s">
        <v>189</v>
      </c>
      <c r="H1011" s="8" t="s">
        <v>2</v>
      </c>
      <c r="I1011" s="8" t="s">
        <v>206</v>
      </c>
      <c r="J1011" s="40" t="s">
        <v>557</v>
      </c>
      <c r="K1011" s="12">
        <f t="shared" si="122"/>
        <v>14869.6</v>
      </c>
      <c r="L1011" s="12">
        <f t="shared" si="122"/>
        <v>14869.6</v>
      </c>
      <c r="M1011" s="12">
        <f t="shared" si="119"/>
        <v>100</v>
      </c>
      <c r="O1011" s="7"/>
      <c r="P1011" s="7"/>
      <c r="Q1011" s="7"/>
      <c r="R1011" s="7"/>
      <c r="S1011" s="7"/>
      <c r="T1011" s="7"/>
      <c r="U1011" s="7"/>
      <c r="V1011" s="7"/>
      <c r="W1011" s="7"/>
      <c r="X1011" s="7"/>
    </row>
    <row r="1012" spans="1:24" s="9" customFormat="1" ht="34.5" customHeight="1" x14ac:dyDescent="0.2">
      <c r="A1012" s="64"/>
      <c r="B1012" s="19" t="s">
        <v>72</v>
      </c>
      <c r="C1012" s="61" t="s">
        <v>31</v>
      </c>
      <c r="D1012" s="8" t="s">
        <v>23</v>
      </c>
      <c r="E1012" s="8" t="s">
        <v>5</v>
      </c>
      <c r="F1012" s="8" t="s">
        <v>41</v>
      </c>
      <c r="G1012" s="8" t="s">
        <v>189</v>
      </c>
      <c r="H1012" s="8" t="s">
        <v>2</v>
      </c>
      <c r="I1012" s="8" t="s">
        <v>206</v>
      </c>
      <c r="J1012" s="61" t="s">
        <v>73</v>
      </c>
      <c r="K1012" s="12">
        <f>7375.7+7463+30.9</f>
        <v>14869.6</v>
      </c>
      <c r="L1012" s="12">
        <f>7375.7+7463+30.9</f>
        <v>14869.6</v>
      </c>
      <c r="M1012" s="12">
        <f t="shared" si="119"/>
        <v>100</v>
      </c>
      <c r="O1012" s="7"/>
      <c r="P1012" s="7"/>
      <c r="Q1012" s="7"/>
      <c r="R1012" s="7"/>
      <c r="S1012" s="7"/>
      <c r="T1012" s="7"/>
      <c r="U1012" s="7"/>
      <c r="V1012" s="7"/>
      <c r="W1012" s="7"/>
      <c r="X1012" s="7"/>
    </row>
    <row r="1013" spans="1:24" s="9" customFormat="1" ht="47.25" x14ac:dyDescent="0.2">
      <c r="A1013" s="64"/>
      <c r="B1013" s="41" t="s">
        <v>80</v>
      </c>
      <c r="C1013" s="61" t="s">
        <v>31</v>
      </c>
      <c r="D1013" s="8" t="s">
        <v>23</v>
      </c>
      <c r="E1013" s="8" t="s">
        <v>5</v>
      </c>
      <c r="F1013" s="8" t="s">
        <v>131</v>
      </c>
      <c r="G1013" s="40" t="s">
        <v>557</v>
      </c>
      <c r="H1013" s="5" t="s">
        <v>557</v>
      </c>
      <c r="I1013" s="5" t="s">
        <v>557</v>
      </c>
      <c r="J1013" s="40" t="s">
        <v>557</v>
      </c>
      <c r="K1013" s="12">
        <f>SUM(K1014)</f>
        <v>33889.599999999999</v>
      </c>
      <c r="L1013" s="12">
        <f>SUM(L1014)</f>
        <v>33383.599999999999</v>
      </c>
      <c r="M1013" s="12">
        <f t="shared" si="119"/>
        <v>98.506916576176764</v>
      </c>
      <c r="O1013" s="7"/>
      <c r="P1013" s="7"/>
      <c r="Q1013" s="7"/>
      <c r="R1013" s="7"/>
      <c r="S1013" s="7"/>
      <c r="T1013" s="7"/>
      <c r="U1013" s="7"/>
      <c r="V1013" s="7"/>
      <c r="W1013" s="7"/>
      <c r="X1013" s="7"/>
    </row>
    <row r="1014" spans="1:24" s="9" customFormat="1" ht="21" customHeight="1" x14ac:dyDescent="0.2">
      <c r="A1014" s="64"/>
      <c r="B1014" s="41" t="s">
        <v>63</v>
      </c>
      <c r="C1014" s="61" t="s">
        <v>31</v>
      </c>
      <c r="D1014" s="8" t="s">
        <v>23</v>
      </c>
      <c r="E1014" s="8" t="s">
        <v>5</v>
      </c>
      <c r="F1014" s="8" t="s">
        <v>131</v>
      </c>
      <c r="G1014" s="8" t="s">
        <v>156</v>
      </c>
      <c r="H1014" s="5" t="s">
        <v>557</v>
      </c>
      <c r="I1014" s="5" t="s">
        <v>557</v>
      </c>
      <c r="J1014" s="40" t="s">
        <v>557</v>
      </c>
      <c r="K1014" s="12">
        <f>SUM(K1015+K1017)</f>
        <v>33889.599999999999</v>
      </c>
      <c r="L1014" s="12">
        <f>SUM(L1015+L1017)</f>
        <v>33383.599999999999</v>
      </c>
      <c r="M1014" s="12">
        <f t="shared" si="119"/>
        <v>98.506916576176764</v>
      </c>
      <c r="O1014" s="7"/>
      <c r="P1014" s="7"/>
      <c r="Q1014" s="7"/>
      <c r="R1014" s="7"/>
      <c r="S1014" s="7"/>
      <c r="T1014" s="7"/>
      <c r="U1014" s="7"/>
      <c r="V1014" s="7"/>
      <c r="W1014" s="7"/>
      <c r="X1014" s="7"/>
    </row>
    <row r="1015" spans="1:24" s="9" customFormat="1" ht="19.5" customHeight="1" x14ac:dyDescent="0.2">
      <c r="A1015" s="64"/>
      <c r="B1015" s="19" t="s">
        <v>482</v>
      </c>
      <c r="C1015" s="61" t="s">
        <v>31</v>
      </c>
      <c r="D1015" s="8" t="s">
        <v>23</v>
      </c>
      <c r="E1015" s="8" t="s">
        <v>5</v>
      </c>
      <c r="F1015" s="8" t="s">
        <v>131</v>
      </c>
      <c r="G1015" s="8" t="s">
        <v>156</v>
      </c>
      <c r="H1015" s="8" t="s">
        <v>97</v>
      </c>
      <c r="I1015" s="8" t="s">
        <v>483</v>
      </c>
      <c r="J1015" s="40" t="s">
        <v>557</v>
      </c>
      <c r="K1015" s="12">
        <f>SUM(K1016)</f>
        <v>33244.6</v>
      </c>
      <c r="L1015" s="12">
        <f>SUM(L1016)</f>
        <v>32738.6</v>
      </c>
      <c r="M1015" s="12">
        <f t="shared" si="119"/>
        <v>98.477948298370265</v>
      </c>
      <c r="O1015" s="7"/>
      <c r="P1015" s="7"/>
      <c r="Q1015" s="7"/>
      <c r="R1015" s="7"/>
      <c r="S1015" s="7"/>
      <c r="T1015" s="7"/>
      <c r="U1015" s="7"/>
      <c r="V1015" s="7"/>
      <c r="W1015" s="7"/>
      <c r="X1015" s="7"/>
    </row>
    <row r="1016" spans="1:24" s="9" customFormat="1" ht="30" customHeight="1" x14ac:dyDescent="0.2">
      <c r="A1016" s="64"/>
      <c r="B1016" s="19" t="s">
        <v>72</v>
      </c>
      <c r="C1016" s="61" t="s">
        <v>31</v>
      </c>
      <c r="D1016" s="8" t="s">
        <v>23</v>
      </c>
      <c r="E1016" s="8" t="s">
        <v>5</v>
      </c>
      <c r="F1016" s="8" t="s">
        <v>131</v>
      </c>
      <c r="G1016" s="8" t="s">
        <v>156</v>
      </c>
      <c r="H1016" s="8" t="s">
        <v>97</v>
      </c>
      <c r="I1016" s="8" t="s">
        <v>483</v>
      </c>
      <c r="J1016" s="8" t="s">
        <v>73</v>
      </c>
      <c r="K1016" s="12">
        <f>33241+3.6</f>
        <v>33244.6</v>
      </c>
      <c r="L1016" s="12">
        <v>32738.6</v>
      </c>
      <c r="M1016" s="12">
        <f t="shared" si="119"/>
        <v>98.477948298370265</v>
      </c>
      <c r="O1016" s="7"/>
      <c r="P1016" s="7"/>
      <c r="Q1016" s="7"/>
      <c r="R1016" s="7"/>
      <c r="S1016" s="7"/>
      <c r="T1016" s="7"/>
      <c r="U1016" s="7"/>
      <c r="V1016" s="7"/>
      <c r="W1016" s="7"/>
      <c r="X1016" s="7"/>
    </row>
    <row r="1017" spans="1:24" s="9" customFormat="1" ht="30" customHeight="1" x14ac:dyDescent="0.2">
      <c r="A1017" s="64"/>
      <c r="B1017" s="19" t="s">
        <v>498</v>
      </c>
      <c r="C1017" s="61" t="s">
        <v>31</v>
      </c>
      <c r="D1017" s="8" t="s">
        <v>23</v>
      </c>
      <c r="E1017" s="8" t="s">
        <v>5</v>
      </c>
      <c r="F1017" s="8" t="s">
        <v>131</v>
      </c>
      <c r="G1017" s="8" t="s">
        <v>156</v>
      </c>
      <c r="H1017" s="8" t="s">
        <v>97</v>
      </c>
      <c r="I1017" s="8" t="s">
        <v>499</v>
      </c>
      <c r="J1017" s="40" t="s">
        <v>557</v>
      </c>
      <c r="K1017" s="12">
        <f>K1018</f>
        <v>645</v>
      </c>
      <c r="L1017" s="12">
        <f>L1018</f>
        <v>645</v>
      </c>
      <c r="M1017" s="12">
        <f t="shared" si="119"/>
        <v>100</v>
      </c>
      <c r="O1017" s="7"/>
      <c r="P1017" s="7"/>
      <c r="Q1017" s="7"/>
      <c r="R1017" s="7"/>
      <c r="S1017" s="7"/>
      <c r="T1017" s="7"/>
      <c r="U1017" s="7"/>
      <c r="V1017" s="7"/>
      <c r="W1017" s="7"/>
      <c r="X1017" s="7"/>
    </row>
    <row r="1018" spans="1:24" s="9" customFormat="1" ht="30" customHeight="1" x14ac:dyDescent="0.2">
      <c r="A1018" s="64"/>
      <c r="B1018" s="19" t="s">
        <v>72</v>
      </c>
      <c r="C1018" s="61" t="s">
        <v>31</v>
      </c>
      <c r="D1018" s="8" t="s">
        <v>23</v>
      </c>
      <c r="E1018" s="8" t="s">
        <v>5</v>
      </c>
      <c r="F1018" s="8" t="s">
        <v>131</v>
      </c>
      <c r="G1018" s="8" t="s">
        <v>156</v>
      </c>
      <c r="H1018" s="8" t="s">
        <v>97</v>
      </c>
      <c r="I1018" s="8" t="s">
        <v>499</v>
      </c>
      <c r="J1018" s="8" t="s">
        <v>73</v>
      </c>
      <c r="K1018" s="12">
        <v>645</v>
      </c>
      <c r="L1018" s="12">
        <v>645</v>
      </c>
      <c r="M1018" s="12">
        <f t="shared" si="119"/>
        <v>100</v>
      </c>
      <c r="O1018" s="7"/>
      <c r="P1018" s="7"/>
      <c r="Q1018" s="7"/>
      <c r="R1018" s="7"/>
      <c r="S1018" s="7"/>
      <c r="T1018" s="7"/>
      <c r="U1018" s="7"/>
      <c r="V1018" s="7"/>
      <c r="W1018" s="7"/>
      <c r="X1018" s="7"/>
    </row>
    <row r="1019" spans="1:24" s="9" customFormat="1" ht="31.5" x14ac:dyDescent="0.2">
      <c r="A1019" s="64"/>
      <c r="B1019" s="55" t="s">
        <v>82</v>
      </c>
      <c r="C1019" s="61">
        <v>929</v>
      </c>
      <c r="D1019" s="8" t="s">
        <v>23</v>
      </c>
      <c r="E1019" s="8" t="s">
        <v>7</v>
      </c>
      <c r="F1019" s="5" t="s">
        <v>557</v>
      </c>
      <c r="G1019" s="40" t="s">
        <v>557</v>
      </c>
      <c r="H1019" s="5" t="s">
        <v>557</v>
      </c>
      <c r="I1019" s="5" t="s">
        <v>557</v>
      </c>
      <c r="J1019" s="40" t="s">
        <v>557</v>
      </c>
      <c r="K1019" s="12">
        <f>K1020+K1029</f>
        <v>5605.3000000000011</v>
      </c>
      <c r="L1019" s="12">
        <f>L1020+L1029</f>
        <v>5581.9</v>
      </c>
      <c r="M1019" s="12">
        <f t="shared" si="119"/>
        <v>99.582537955149562</v>
      </c>
      <c r="O1019" s="7"/>
      <c r="P1019" s="7"/>
      <c r="Q1019" s="7"/>
      <c r="R1019" s="7"/>
      <c r="S1019" s="7"/>
      <c r="T1019" s="7"/>
      <c r="U1019" s="7"/>
      <c r="V1019" s="7"/>
      <c r="W1019" s="7"/>
      <c r="X1019" s="7"/>
    </row>
    <row r="1020" spans="1:24" s="9" customFormat="1" ht="31.15" customHeight="1" x14ac:dyDescent="0.2">
      <c r="A1020" s="64"/>
      <c r="B1020" s="55" t="s">
        <v>268</v>
      </c>
      <c r="C1020" s="61" t="s">
        <v>31</v>
      </c>
      <c r="D1020" s="8" t="s">
        <v>23</v>
      </c>
      <c r="E1020" s="8" t="s">
        <v>7</v>
      </c>
      <c r="F1020" s="8" t="s">
        <v>7</v>
      </c>
      <c r="G1020" s="40" t="s">
        <v>557</v>
      </c>
      <c r="H1020" s="5" t="s">
        <v>557</v>
      </c>
      <c r="I1020" s="5" t="s">
        <v>557</v>
      </c>
      <c r="J1020" s="40" t="s">
        <v>557</v>
      </c>
      <c r="K1020" s="12">
        <f t="shared" ref="K1020:L1021" si="123">SUM(K1021)</f>
        <v>5119.7000000000007</v>
      </c>
      <c r="L1020" s="12">
        <f t="shared" si="123"/>
        <v>5096.3999999999996</v>
      </c>
      <c r="M1020" s="12">
        <f t="shared" si="119"/>
        <v>99.544895208703608</v>
      </c>
      <c r="O1020" s="7"/>
      <c r="P1020" s="7"/>
      <c r="Q1020" s="7"/>
      <c r="R1020" s="7"/>
      <c r="S1020" s="7"/>
      <c r="T1020" s="7"/>
      <c r="U1020" s="7"/>
      <c r="V1020" s="7"/>
      <c r="W1020" s="7"/>
      <c r="X1020" s="7"/>
    </row>
    <row r="1021" spans="1:24" s="9" customFormat="1" ht="63" x14ac:dyDescent="0.2">
      <c r="A1021" s="64"/>
      <c r="B1021" s="55" t="s">
        <v>273</v>
      </c>
      <c r="C1021" s="61" t="s">
        <v>31</v>
      </c>
      <c r="D1021" s="8" t="s">
        <v>23</v>
      </c>
      <c r="E1021" s="8" t="s">
        <v>7</v>
      </c>
      <c r="F1021" s="8" t="s">
        <v>7</v>
      </c>
      <c r="G1021" s="8" t="s">
        <v>116</v>
      </c>
      <c r="H1021" s="5" t="s">
        <v>557</v>
      </c>
      <c r="I1021" s="5" t="s">
        <v>557</v>
      </c>
      <c r="J1021" s="40" t="s">
        <v>557</v>
      </c>
      <c r="K1021" s="12">
        <f t="shared" si="123"/>
        <v>5119.7000000000007</v>
      </c>
      <c r="L1021" s="12">
        <f t="shared" si="123"/>
        <v>5096.3999999999996</v>
      </c>
      <c r="M1021" s="12">
        <f t="shared" si="119"/>
        <v>99.544895208703608</v>
      </c>
      <c r="O1021" s="7"/>
      <c r="P1021" s="7"/>
      <c r="Q1021" s="7"/>
      <c r="R1021" s="7"/>
      <c r="S1021" s="7"/>
      <c r="T1021" s="7"/>
      <c r="U1021" s="7"/>
      <c r="V1021" s="7"/>
      <c r="W1021" s="7"/>
      <c r="X1021" s="7"/>
    </row>
    <row r="1022" spans="1:24" s="9" customFormat="1" ht="49.5" customHeight="1" x14ac:dyDescent="0.2">
      <c r="A1022" s="64"/>
      <c r="B1022" s="55" t="s">
        <v>159</v>
      </c>
      <c r="C1022" s="61" t="s">
        <v>31</v>
      </c>
      <c r="D1022" s="8" t="s">
        <v>23</v>
      </c>
      <c r="E1022" s="8" t="s">
        <v>7</v>
      </c>
      <c r="F1022" s="8" t="s">
        <v>7</v>
      </c>
      <c r="G1022" s="8" t="s">
        <v>116</v>
      </c>
      <c r="H1022" s="8" t="s">
        <v>2</v>
      </c>
      <c r="I1022" s="5" t="s">
        <v>557</v>
      </c>
      <c r="J1022" s="40" t="s">
        <v>557</v>
      </c>
      <c r="K1022" s="12">
        <f>SUM(K1023+K1027)</f>
        <v>5119.7000000000007</v>
      </c>
      <c r="L1022" s="12">
        <f>SUM(L1023+L1027)</f>
        <v>5096.3999999999996</v>
      </c>
      <c r="M1022" s="12">
        <f t="shared" si="119"/>
        <v>99.544895208703608</v>
      </c>
      <c r="O1022" s="7"/>
      <c r="P1022" s="7"/>
      <c r="Q1022" s="7"/>
      <c r="R1022" s="7"/>
      <c r="S1022" s="7"/>
      <c r="T1022" s="7"/>
      <c r="U1022" s="7"/>
      <c r="V1022" s="7"/>
      <c r="W1022" s="7"/>
      <c r="X1022" s="7"/>
    </row>
    <row r="1023" spans="1:24" s="9" customFormat="1" ht="29.25" customHeight="1" x14ac:dyDescent="0.2">
      <c r="A1023" s="64"/>
      <c r="B1023" s="19" t="s">
        <v>53</v>
      </c>
      <c r="C1023" s="61" t="s">
        <v>31</v>
      </c>
      <c r="D1023" s="8" t="s">
        <v>23</v>
      </c>
      <c r="E1023" s="8" t="s">
        <v>7</v>
      </c>
      <c r="F1023" s="8" t="s">
        <v>7</v>
      </c>
      <c r="G1023" s="8" t="s">
        <v>116</v>
      </c>
      <c r="H1023" s="8" t="s">
        <v>2</v>
      </c>
      <c r="I1023" s="8" t="s">
        <v>99</v>
      </c>
      <c r="J1023" s="40" t="s">
        <v>557</v>
      </c>
      <c r="K1023" s="12">
        <f>SUM(K1024:K1026)</f>
        <v>5099.6000000000004</v>
      </c>
      <c r="L1023" s="12">
        <f>SUM(L1024:L1026)</f>
        <v>5080.7</v>
      </c>
      <c r="M1023" s="12">
        <f t="shared" si="119"/>
        <v>99.629382696682072</v>
      </c>
      <c r="O1023" s="7"/>
      <c r="P1023" s="7"/>
      <c r="Q1023" s="7"/>
      <c r="R1023" s="7"/>
      <c r="S1023" s="7"/>
      <c r="T1023" s="7"/>
      <c r="U1023" s="7"/>
      <c r="V1023" s="7"/>
      <c r="W1023" s="7"/>
      <c r="X1023" s="7"/>
    </row>
    <row r="1024" spans="1:24" s="9" customFormat="1" ht="50.25" customHeight="1" x14ac:dyDescent="0.2">
      <c r="A1024" s="64"/>
      <c r="B1024" s="19" t="s">
        <v>54</v>
      </c>
      <c r="C1024" s="61" t="s">
        <v>31</v>
      </c>
      <c r="D1024" s="8" t="s">
        <v>23</v>
      </c>
      <c r="E1024" s="8" t="s">
        <v>7</v>
      </c>
      <c r="F1024" s="8" t="s">
        <v>7</v>
      </c>
      <c r="G1024" s="8" t="s">
        <v>116</v>
      </c>
      <c r="H1024" s="8" t="s">
        <v>2</v>
      </c>
      <c r="I1024" s="8" t="s">
        <v>99</v>
      </c>
      <c r="J1024" s="8" t="s">
        <v>55</v>
      </c>
      <c r="K1024" s="12">
        <f>3984.7+680.8+126.1</f>
        <v>4791.6000000000004</v>
      </c>
      <c r="L1024" s="12">
        <v>4779.3</v>
      </c>
      <c r="M1024" s="12">
        <f t="shared" si="119"/>
        <v>99.743300776358623</v>
      </c>
      <c r="O1024" s="7"/>
      <c r="P1024" s="7"/>
      <c r="Q1024" s="7"/>
      <c r="R1024" s="7"/>
      <c r="S1024" s="7"/>
      <c r="T1024" s="7"/>
      <c r="U1024" s="7"/>
      <c r="V1024" s="7"/>
      <c r="W1024" s="7"/>
      <c r="X1024" s="7"/>
    </row>
    <row r="1025" spans="1:24" s="9" customFormat="1" ht="30" customHeight="1" x14ac:dyDescent="0.2">
      <c r="A1025" s="64"/>
      <c r="B1025" s="19" t="s">
        <v>164</v>
      </c>
      <c r="C1025" s="61" t="s">
        <v>31</v>
      </c>
      <c r="D1025" s="8" t="s">
        <v>23</v>
      </c>
      <c r="E1025" s="8" t="s">
        <v>7</v>
      </c>
      <c r="F1025" s="8" t="s">
        <v>7</v>
      </c>
      <c r="G1025" s="8" t="s">
        <v>116</v>
      </c>
      <c r="H1025" s="8" t="s">
        <v>2</v>
      </c>
      <c r="I1025" s="8" t="s">
        <v>99</v>
      </c>
      <c r="J1025" s="8" t="s">
        <v>57</v>
      </c>
      <c r="K1025" s="12">
        <f>306.8+0.4</f>
        <v>307.2</v>
      </c>
      <c r="L1025" s="12">
        <v>301.39999999999998</v>
      </c>
      <c r="M1025" s="12">
        <f t="shared" si="119"/>
        <v>98.111979166666657</v>
      </c>
      <c r="O1025" s="7"/>
      <c r="P1025" s="7"/>
      <c r="Q1025" s="7"/>
      <c r="R1025" s="7"/>
      <c r="S1025" s="7"/>
      <c r="T1025" s="7"/>
      <c r="U1025" s="7"/>
      <c r="V1025" s="7"/>
      <c r="W1025" s="7"/>
      <c r="X1025" s="7"/>
    </row>
    <row r="1026" spans="1:24" s="9" customFormat="1" ht="15.6" customHeight="1" x14ac:dyDescent="0.2">
      <c r="A1026" s="64"/>
      <c r="B1026" s="19" t="s">
        <v>59</v>
      </c>
      <c r="C1026" s="61" t="s">
        <v>31</v>
      </c>
      <c r="D1026" s="8" t="s">
        <v>23</v>
      </c>
      <c r="E1026" s="8" t="s">
        <v>7</v>
      </c>
      <c r="F1026" s="8" t="s">
        <v>7</v>
      </c>
      <c r="G1026" s="8" t="s">
        <v>116</v>
      </c>
      <c r="H1026" s="8" t="s">
        <v>2</v>
      </c>
      <c r="I1026" s="8" t="s">
        <v>99</v>
      </c>
      <c r="J1026" s="8" t="s">
        <v>60</v>
      </c>
      <c r="K1026" s="12">
        <v>0.8</v>
      </c>
      <c r="L1026" s="12">
        <v>0</v>
      </c>
      <c r="M1026" s="12">
        <f t="shared" si="119"/>
        <v>0</v>
      </c>
      <c r="O1026" s="7"/>
      <c r="P1026" s="7"/>
      <c r="Q1026" s="7"/>
      <c r="R1026" s="7"/>
      <c r="S1026" s="7"/>
      <c r="T1026" s="7"/>
      <c r="U1026" s="7"/>
      <c r="V1026" s="7"/>
      <c r="W1026" s="7"/>
      <c r="X1026" s="7"/>
    </row>
    <row r="1027" spans="1:24" s="9" customFormat="1" ht="31.5" x14ac:dyDescent="0.2">
      <c r="A1027" s="64"/>
      <c r="B1027" s="19" t="s">
        <v>374</v>
      </c>
      <c r="C1027" s="62">
        <v>929</v>
      </c>
      <c r="D1027" s="8" t="s">
        <v>23</v>
      </c>
      <c r="E1027" s="8" t="s">
        <v>7</v>
      </c>
      <c r="F1027" s="8" t="s">
        <v>7</v>
      </c>
      <c r="G1027" s="63">
        <v>1</v>
      </c>
      <c r="H1027" s="8" t="s">
        <v>2</v>
      </c>
      <c r="I1027" s="8" t="s">
        <v>373</v>
      </c>
      <c r="J1027" s="40" t="s">
        <v>557</v>
      </c>
      <c r="K1027" s="12">
        <f>SUM(K1028)</f>
        <v>20.100000000000001</v>
      </c>
      <c r="L1027" s="12">
        <f>SUM(L1028)</f>
        <v>15.7</v>
      </c>
      <c r="M1027" s="12">
        <f t="shared" si="119"/>
        <v>78.109452736318403</v>
      </c>
      <c r="O1027" s="7"/>
      <c r="P1027" s="7"/>
      <c r="Q1027" s="7"/>
      <c r="R1027" s="7"/>
      <c r="S1027" s="7"/>
      <c r="T1027" s="7"/>
      <c r="U1027" s="7"/>
      <c r="V1027" s="7"/>
      <c r="W1027" s="7"/>
      <c r="X1027" s="7"/>
    </row>
    <row r="1028" spans="1:24" s="9" customFormat="1" ht="31.5" x14ac:dyDescent="0.2">
      <c r="A1028" s="64"/>
      <c r="B1028" s="19" t="s">
        <v>164</v>
      </c>
      <c r="C1028" s="62">
        <v>929</v>
      </c>
      <c r="D1028" s="8" t="s">
        <v>23</v>
      </c>
      <c r="E1028" s="8" t="s">
        <v>7</v>
      </c>
      <c r="F1028" s="8" t="s">
        <v>7</v>
      </c>
      <c r="G1028" s="63">
        <v>1</v>
      </c>
      <c r="H1028" s="8" t="s">
        <v>2</v>
      </c>
      <c r="I1028" s="8" t="s">
        <v>373</v>
      </c>
      <c r="J1028" s="8" t="s">
        <v>57</v>
      </c>
      <c r="K1028" s="12">
        <v>20.100000000000001</v>
      </c>
      <c r="L1028" s="12">
        <v>15.7</v>
      </c>
      <c r="M1028" s="12">
        <f t="shared" si="119"/>
        <v>78.109452736318403</v>
      </c>
      <c r="O1028" s="7"/>
      <c r="P1028" s="7"/>
      <c r="Q1028" s="7"/>
      <c r="R1028" s="7"/>
      <c r="S1028" s="7"/>
      <c r="T1028" s="7"/>
      <c r="U1028" s="7"/>
      <c r="V1028" s="7"/>
      <c r="W1028" s="7"/>
      <c r="X1028" s="7"/>
    </row>
    <row r="1029" spans="1:24" s="9" customFormat="1" ht="47.25" x14ac:dyDescent="0.2">
      <c r="A1029" s="64"/>
      <c r="B1029" s="19" t="s">
        <v>359</v>
      </c>
      <c r="C1029" s="61" t="s">
        <v>31</v>
      </c>
      <c r="D1029" s="8" t="s">
        <v>23</v>
      </c>
      <c r="E1029" s="8" t="s">
        <v>7</v>
      </c>
      <c r="F1029" s="8" t="s">
        <v>88</v>
      </c>
      <c r="G1029" s="40" t="s">
        <v>557</v>
      </c>
      <c r="H1029" s="5" t="s">
        <v>557</v>
      </c>
      <c r="I1029" s="5" t="s">
        <v>557</v>
      </c>
      <c r="J1029" s="40" t="s">
        <v>557</v>
      </c>
      <c r="K1029" s="12">
        <f t="shared" ref="K1029:L1031" si="124">K1030</f>
        <v>485.6</v>
      </c>
      <c r="L1029" s="12">
        <f t="shared" si="124"/>
        <v>485.5</v>
      </c>
      <c r="M1029" s="12">
        <f t="shared" si="119"/>
        <v>99.979406919275121</v>
      </c>
      <c r="O1029" s="7"/>
      <c r="P1029" s="7"/>
      <c r="Q1029" s="7"/>
      <c r="R1029" s="7"/>
      <c r="S1029" s="7"/>
      <c r="T1029" s="7"/>
      <c r="U1029" s="7"/>
      <c r="V1029" s="7"/>
      <c r="W1029" s="7"/>
      <c r="X1029" s="7"/>
    </row>
    <row r="1030" spans="1:24" s="9" customFormat="1" ht="45.75" customHeight="1" x14ac:dyDescent="0.2">
      <c r="A1030" s="64"/>
      <c r="B1030" s="19" t="s">
        <v>212</v>
      </c>
      <c r="C1030" s="61" t="s">
        <v>31</v>
      </c>
      <c r="D1030" s="8" t="s">
        <v>23</v>
      </c>
      <c r="E1030" s="8" t="s">
        <v>7</v>
      </c>
      <c r="F1030" s="8" t="s">
        <v>88</v>
      </c>
      <c r="G1030" s="8" t="s">
        <v>156</v>
      </c>
      <c r="H1030" s="5" t="s">
        <v>557</v>
      </c>
      <c r="I1030" s="5" t="s">
        <v>557</v>
      </c>
      <c r="J1030" s="40" t="s">
        <v>557</v>
      </c>
      <c r="K1030" s="12">
        <f t="shared" si="124"/>
        <v>485.6</v>
      </c>
      <c r="L1030" s="12">
        <f t="shared" si="124"/>
        <v>485.5</v>
      </c>
      <c r="M1030" s="12">
        <f t="shared" si="119"/>
        <v>99.979406919275121</v>
      </c>
      <c r="O1030" s="7"/>
      <c r="P1030" s="7"/>
      <c r="Q1030" s="7"/>
      <c r="R1030" s="7"/>
      <c r="S1030" s="7"/>
      <c r="T1030" s="7"/>
      <c r="U1030" s="7"/>
      <c r="V1030" s="7"/>
      <c r="W1030" s="7"/>
      <c r="X1030" s="7"/>
    </row>
    <row r="1031" spans="1:24" s="9" customFormat="1" ht="111.75" customHeight="1" x14ac:dyDescent="0.2">
      <c r="A1031" s="64"/>
      <c r="B1031" s="54" t="s">
        <v>213</v>
      </c>
      <c r="C1031" s="61" t="s">
        <v>31</v>
      </c>
      <c r="D1031" s="8" t="s">
        <v>23</v>
      </c>
      <c r="E1031" s="8" t="s">
        <v>7</v>
      </c>
      <c r="F1031" s="8" t="s">
        <v>88</v>
      </c>
      <c r="G1031" s="8" t="s">
        <v>156</v>
      </c>
      <c r="H1031" s="8" t="s">
        <v>2</v>
      </c>
      <c r="I1031" s="5" t="s">
        <v>557</v>
      </c>
      <c r="J1031" s="40" t="s">
        <v>557</v>
      </c>
      <c r="K1031" s="12">
        <f t="shared" si="124"/>
        <v>485.6</v>
      </c>
      <c r="L1031" s="12">
        <f t="shared" si="124"/>
        <v>485.5</v>
      </c>
      <c r="M1031" s="12">
        <f t="shared" si="119"/>
        <v>99.979406919275121</v>
      </c>
      <c r="O1031" s="7"/>
      <c r="P1031" s="7"/>
      <c r="Q1031" s="7"/>
      <c r="R1031" s="7"/>
      <c r="S1031" s="7"/>
      <c r="T1031" s="7"/>
      <c r="U1031" s="7"/>
      <c r="V1031" s="7"/>
      <c r="W1031" s="7"/>
      <c r="X1031" s="7"/>
    </row>
    <row r="1032" spans="1:24" s="9" customFormat="1" ht="94.5" x14ac:dyDescent="0.2">
      <c r="A1032" s="64"/>
      <c r="B1032" s="19" t="s">
        <v>234</v>
      </c>
      <c r="C1032" s="61" t="s">
        <v>31</v>
      </c>
      <c r="D1032" s="8" t="s">
        <v>23</v>
      </c>
      <c r="E1032" s="8" t="s">
        <v>7</v>
      </c>
      <c r="F1032" s="8" t="s">
        <v>88</v>
      </c>
      <c r="G1032" s="8" t="s">
        <v>156</v>
      </c>
      <c r="H1032" s="8" t="s">
        <v>2</v>
      </c>
      <c r="I1032" s="8" t="s">
        <v>214</v>
      </c>
      <c r="J1032" s="40" t="s">
        <v>557</v>
      </c>
      <c r="K1032" s="12">
        <f>K1033+K1034</f>
        <v>485.6</v>
      </c>
      <c r="L1032" s="12">
        <f>L1033+L1034</f>
        <v>485.5</v>
      </c>
      <c r="M1032" s="12">
        <f t="shared" si="119"/>
        <v>99.979406919275121</v>
      </c>
      <c r="O1032" s="7"/>
      <c r="P1032" s="7"/>
      <c r="Q1032" s="7"/>
      <c r="R1032" s="7"/>
      <c r="S1032" s="7"/>
      <c r="T1032" s="7"/>
      <c r="U1032" s="7"/>
      <c r="V1032" s="7"/>
      <c r="W1032" s="7"/>
      <c r="X1032" s="7"/>
    </row>
    <row r="1033" spans="1:24" s="9" customFormat="1" ht="31.5" x14ac:dyDescent="0.2">
      <c r="A1033" s="64"/>
      <c r="B1033" s="19" t="s">
        <v>164</v>
      </c>
      <c r="C1033" s="61" t="s">
        <v>31</v>
      </c>
      <c r="D1033" s="8" t="s">
        <v>23</v>
      </c>
      <c r="E1033" s="8" t="s">
        <v>7</v>
      </c>
      <c r="F1033" s="8" t="s">
        <v>88</v>
      </c>
      <c r="G1033" s="8" t="s">
        <v>156</v>
      </c>
      <c r="H1033" s="8" t="s">
        <v>2</v>
      </c>
      <c r="I1033" s="8" t="s">
        <v>214</v>
      </c>
      <c r="J1033" s="8" t="s">
        <v>57</v>
      </c>
      <c r="K1033" s="12">
        <v>316.60000000000002</v>
      </c>
      <c r="L1033" s="12">
        <v>316.5</v>
      </c>
      <c r="M1033" s="12">
        <f t="shared" si="119"/>
        <v>99.968414403032213</v>
      </c>
      <c r="O1033" s="7"/>
      <c r="P1033" s="7"/>
      <c r="Q1033" s="7"/>
      <c r="R1033" s="7"/>
      <c r="S1033" s="7"/>
      <c r="T1033" s="7"/>
      <c r="U1033" s="7"/>
      <c r="V1033" s="7"/>
      <c r="W1033" s="7"/>
      <c r="X1033" s="7"/>
    </row>
    <row r="1034" spans="1:24" s="9" customFormat="1" ht="20.25" customHeight="1" x14ac:dyDescent="0.2">
      <c r="A1034" s="64"/>
      <c r="B1034" s="19" t="s">
        <v>65</v>
      </c>
      <c r="C1034" s="61" t="s">
        <v>31</v>
      </c>
      <c r="D1034" s="8" t="s">
        <v>23</v>
      </c>
      <c r="E1034" s="8" t="s">
        <v>7</v>
      </c>
      <c r="F1034" s="8" t="s">
        <v>88</v>
      </c>
      <c r="G1034" s="8" t="s">
        <v>156</v>
      </c>
      <c r="H1034" s="8" t="s">
        <v>2</v>
      </c>
      <c r="I1034" s="8" t="s">
        <v>214</v>
      </c>
      <c r="J1034" s="8" t="s">
        <v>66</v>
      </c>
      <c r="K1034" s="12">
        <v>169</v>
      </c>
      <c r="L1034" s="12">
        <v>169</v>
      </c>
      <c r="M1034" s="12">
        <f t="shared" si="119"/>
        <v>100</v>
      </c>
      <c r="O1034" s="7"/>
      <c r="P1034" s="7"/>
      <c r="Q1034" s="7"/>
      <c r="R1034" s="7"/>
      <c r="S1034" s="7"/>
      <c r="T1034" s="7"/>
      <c r="U1034" s="7"/>
      <c r="V1034" s="7"/>
      <c r="W1034" s="7"/>
      <c r="X1034" s="7"/>
    </row>
    <row r="1035" spans="1:24" s="9" customFormat="1" ht="33.75" customHeight="1" x14ac:dyDescent="0.2">
      <c r="A1035" s="85" t="s">
        <v>88</v>
      </c>
      <c r="B1035" s="55" t="s">
        <v>176</v>
      </c>
      <c r="C1035" s="61">
        <v>934</v>
      </c>
      <c r="D1035" s="40" t="s">
        <v>557</v>
      </c>
      <c r="E1035" s="40" t="s">
        <v>557</v>
      </c>
      <c r="F1035" s="5" t="s">
        <v>557</v>
      </c>
      <c r="G1035" s="40" t="s">
        <v>557</v>
      </c>
      <c r="H1035" s="5" t="s">
        <v>557</v>
      </c>
      <c r="I1035" s="5" t="s">
        <v>557</v>
      </c>
      <c r="J1035" s="40" t="s">
        <v>557</v>
      </c>
      <c r="K1035" s="12">
        <f>K1036+K1042+K1049</f>
        <v>18491.499999999996</v>
      </c>
      <c r="L1035" s="12">
        <f>L1036+L1042+L1049</f>
        <v>17864.000000000004</v>
      </c>
      <c r="M1035" s="12">
        <f t="shared" si="119"/>
        <v>96.606548954925273</v>
      </c>
      <c r="O1035" s="7"/>
      <c r="P1035" s="7"/>
      <c r="Q1035" s="7"/>
      <c r="R1035" s="7"/>
      <c r="S1035" s="7"/>
      <c r="T1035" s="7"/>
      <c r="U1035" s="7"/>
      <c r="V1035" s="7"/>
      <c r="W1035" s="7"/>
      <c r="X1035" s="7"/>
    </row>
    <row r="1036" spans="1:24" s="9" customFormat="1" x14ac:dyDescent="0.2">
      <c r="A1036" s="85"/>
      <c r="B1036" s="19" t="s">
        <v>1</v>
      </c>
      <c r="C1036" s="61">
        <v>934</v>
      </c>
      <c r="D1036" s="8" t="s">
        <v>2</v>
      </c>
      <c r="E1036" s="40" t="s">
        <v>557</v>
      </c>
      <c r="F1036" s="5" t="s">
        <v>557</v>
      </c>
      <c r="G1036" s="40" t="s">
        <v>557</v>
      </c>
      <c r="H1036" s="5" t="s">
        <v>557</v>
      </c>
      <c r="I1036" s="5" t="s">
        <v>557</v>
      </c>
      <c r="J1036" s="40" t="s">
        <v>557</v>
      </c>
      <c r="K1036" s="12">
        <f>SUM(K1037)</f>
        <v>788.4</v>
      </c>
      <c r="L1036" s="12">
        <f>SUM(L1037)</f>
        <v>239.8</v>
      </c>
      <c r="M1036" s="12">
        <f t="shared" si="119"/>
        <v>30.416032470826991</v>
      </c>
      <c r="O1036" s="7"/>
      <c r="P1036" s="7"/>
      <c r="Q1036" s="7"/>
      <c r="R1036" s="7"/>
      <c r="S1036" s="7"/>
      <c r="T1036" s="7"/>
      <c r="U1036" s="7"/>
      <c r="V1036" s="7"/>
      <c r="W1036" s="7"/>
      <c r="X1036" s="7"/>
    </row>
    <row r="1037" spans="1:24" s="9" customFormat="1" x14ac:dyDescent="0.2">
      <c r="A1037" s="85"/>
      <c r="B1037" s="19" t="s">
        <v>9</v>
      </c>
      <c r="C1037" s="61">
        <v>934</v>
      </c>
      <c r="D1037" s="8" t="s">
        <v>2</v>
      </c>
      <c r="E1037" s="8" t="s">
        <v>41</v>
      </c>
      <c r="F1037" s="5" t="s">
        <v>557</v>
      </c>
      <c r="G1037" s="40" t="s">
        <v>557</v>
      </c>
      <c r="H1037" s="5" t="s">
        <v>557</v>
      </c>
      <c r="I1037" s="5" t="s">
        <v>557</v>
      </c>
      <c r="J1037" s="40" t="s">
        <v>557</v>
      </c>
      <c r="K1037" s="12">
        <f t="shared" ref="K1037:L1040" si="125">K1038</f>
        <v>788.4</v>
      </c>
      <c r="L1037" s="12">
        <f t="shared" si="125"/>
        <v>239.8</v>
      </c>
      <c r="M1037" s="12">
        <f t="shared" si="119"/>
        <v>30.416032470826991</v>
      </c>
      <c r="O1037" s="7"/>
      <c r="P1037" s="7"/>
      <c r="Q1037" s="7"/>
      <c r="R1037" s="7"/>
      <c r="S1037" s="7"/>
      <c r="T1037" s="7"/>
      <c r="U1037" s="7"/>
      <c r="V1037" s="7"/>
      <c r="W1037" s="7"/>
      <c r="X1037" s="7"/>
    </row>
    <row r="1038" spans="1:24" s="9" customFormat="1" ht="48" customHeight="1" x14ac:dyDescent="0.2">
      <c r="A1038" s="85"/>
      <c r="B1038" s="19" t="s">
        <v>276</v>
      </c>
      <c r="C1038" s="61">
        <v>934</v>
      </c>
      <c r="D1038" s="8" t="s">
        <v>2</v>
      </c>
      <c r="E1038" s="8" t="s">
        <v>41</v>
      </c>
      <c r="F1038" s="8" t="s">
        <v>173</v>
      </c>
      <c r="G1038" s="40" t="s">
        <v>557</v>
      </c>
      <c r="H1038" s="5" t="s">
        <v>557</v>
      </c>
      <c r="I1038" s="5" t="s">
        <v>557</v>
      </c>
      <c r="J1038" s="40" t="s">
        <v>557</v>
      </c>
      <c r="K1038" s="12">
        <f t="shared" si="125"/>
        <v>788.4</v>
      </c>
      <c r="L1038" s="12">
        <f t="shared" si="125"/>
        <v>239.8</v>
      </c>
      <c r="M1038" s="12">
        <f t="shared" si="119"/>
        <v>30.416032470826991</v>
      </c>
      <c r="O1038" s="7"/>
      <c r="P1038" s="7"/>
      <c r="Q1038" s="7"/>
      <c r="R1038" s="7"/>
      <c r="S1038" s="7"/>
      <c r="T1038" s="7"/>
      <c r="U1038" s="7"/>
      <c r="V1038" s="7"/>
      <c r="W1038" s="7"/>
      <c r="X1038" s="7"/>
    </row>
    <row r="1039" spans="1:24" s="9" customFormat="1" ht="33" customHeight="1" x14ac:dyDescent="0.2">
      <c r="A1039" s="85"/>
      <c r="B1039" s="19" t="s">
        <v>285</v>
      </c>
      <c r="C1039" s="61">
        <v>934</v>
      </c>
      <c r="D1039" s="8" t="s">
        <v>2</v>
      </c>
      <c r="E1039" s="8" t="s">
        <v>41</v>
      </c>
      <c r="F1039" s="8" t="s">
        <v>173</v>
      </c>
      <c r="G1039" s="8" t="s">
        <v>116</v>
      </c>
      <c r="H1039" s="8" t="s">
        <v>6</v>
      </c>
      <c r="I1039" s="5" t="s">
        <v>557</v>
      </c>
      <c r="J1039" s="40" t="s">
        <v>557</v>
      </c>
      <c r="K1039" s="12">
        <f t="shared" si="125"/>
        <v>788.4</v>
      </c>
      <c r="L1039" s="12">
        <f t="shared" si="125"/>
        <v>239.8</v>
      </c>
      <c r="M1039" s="12">
        <f t="shared" si="119"/>
        <v>30.416032470826991</v>
      </c>
      <c r="O1039" s="7"/>
      <c r="P1039" s="7"/>
      <c r="Q1039" s="7"/>
      <c r="R1039" s="7"/>
      <c r="S1039" s="7"/>
      <c r="T1039" s="7"/>
      <c r="U1039" s="7"/>
      <c r="V1039" s="7"/>
      <c r="W1039" s="7"/>
      <c r="X1039" s="7"/>
    </row>
    <row r="1040" spans="1:24" s="9" customFormat="1" ht="47.25" x14ac:dyDescent="0.2">
      <c r="A1040" s="85"/>
      <c r="B1040" s="19" t="s">
        <v>286</v>
      </c>
      <c r="C1040" s="61">
        <v>934</v>
      </c>
      <c r="D1040" s="8" t="s">
        <v>2</v>
      </c>
      <c r="E1040" s="8" t="s">
        <v>41</v>
      </c>
      <c r="F1040" s="8" t="s">
        <v>173</v>
      </c>
      <c r="G1040" s="8" t="s">
        <v>116</v>
      </c>
      <c r="H1040" s="8" t="s">
        <v>6</v>
      </c>
      <c r="I1040" s="8" t="s">
        <v>284</v>
      </c>
      <c r="J1040" s="40" t="s">
        <v>557</v>
      </c>
      <c r="K1040" s="12">
        <f t="shared" si="125"/>
        <v>788.4</v>
      </c>
      <c r="L1040" s="12">
        <f t="shared" si="125"/>
        <v>239.8</v>
      </c>
      <c r="M1040" s="12">
        <f t="shared" si="119"/>
        <v>30.416032470826991</v>
      </c>
      <c r="O1040" s="7"/>
      <c r="P1040" s="7"/>
      <c r="Q1040" s="7"/>
      <c r="R1040" s="7"/>
      <c r="S1040" s="7"/>
      <c r="T1040" s="7"/>
      <c r="U1040" s="7"/>
      <c r="V1040" s="7"/>
      <c r="W1040" s="7"/>
      <c r="X1040" s="7"/>
    </row>
    <row r="1041" spans="1:24" s="9" customFormat="1" ht="31.5" x14ac:dyDescent="0.2">
      <c r="A1041" s="85"/>
      <c r="B1041" s="19" t="s">
        <v>164</v>
      </c>
      <c r="C1041" s="61">
        <v>934</v>
      </c>
      <c r="D1041" s="8" t="s">
        <v>2</v>
      </c>
      <c r="E1041" s="8" t="s">
        <v>41</v>
      </c>
      <c r="F1041" s="8" t="s">
        <v>173</v>
      </c>
      <c r="G1041" s="8" t="s">
        <v>116</v>
      </c>
      <c r="H1041" s="8" t="s">
        <v>6</v>
      </c>
      <c r="I1041" s="8" t="s">
        <v>284</v>
      </c>
      <c r="J1041" s="8" t="s">
        <v>57</v>
      </c>
      <c r="K1041" s="12">
        <v>788.4</v>
      </c>
      <c r="L1041" s="12">
        <v>239.8</v>
      </c>
      <c r="M1041" s="12">
        <f t="shared" ref="M1041:M1101" si="126">SUM(L1041/K1041*100)</f>
        <v>30.416032470826991</v>
      </c>
      <c r="O1041" s="7"/>
      <c r="P1041" s="7"/>
      <c r="Q1041" s="7"/>
      <c r="R1041" s="7"/>
      <c r="S1041" s="7"/>
      <c r="T1041" s="7"/>
      <c r="U1041" s="7"/>
      <c r="V1041" s="7"/>
      <c r="W1041" s="7"/>
      <c r="X1041" s="7"/>
    </row>
    <row r="1042" spans="1:24" s="9" customFormat="1" ht="31.5" x14ac:dyDescent="0.2">
      <c r="A1042" s="85"/>
      <c r="B1042" s="19" t="s">
        <v>14</v>
      </c>
      <c r="C1042" s="61" t="s">
        <v>92</v>
      </c>
      <c r="D1042" s="8" t="s">
        <v>5</v>
      </c>
      <c r="E1042" s="40" t="s">
        <v>557</v>
      </c>
      <c r="F1042" s="5" t="s">
        <v>557</v>
      </c>
      <c r="G1042" s="40" t="s">
        <v>557</v>
      </c>
      <c r="H1042" s="5" t="s">
        <v>557</v>
      </c>
      <c r="I1042" s="5" t="s">
        <v>557</v>
      </c>
      <c r="J1042" s="40" t="s">
        <v>557</v>
      </c>
      <c r="K1042" s="12">
        <f t="shared" ref="K1042:L1043" si="127">SUM(K1043)</f>
        <v>352.4</v>
      </c>
      <c r="L1042" s="12">
        <f t="shared" si="127"/>
        <v>352.4</v>
      </c>
      <c r="M1042" s="12">
        <f t="shared" si="126"/>
        <v>100</v>
      </c>
      <c r="O1042" s="7"/>
      <c r="P1042" s="7"/>
      <c r="Q1042" s="7"/>
      <c r="R1042" s="7"/>
      <c r="S1042" s="7"/>
      <c r="T1042" s="7"/>
      <c r="U1042" s="7"/>
      <c r="V1042" s="7"/>
      <c r="W1042" s="7"/>
      <c r="X1042" s="7"/>
    </row>
    <row r="1043" spans="1:24" s="9" customFormat="1" ht="35.25" customHeight="1" x14ac:dyDescent="0.2">
      <c r="A1043" s="85"/>
      <c r="B1043" s="19" t="s">
        <v>178</v>
      </c>
      <c r="C1043" s="61" t="s">
        <v>92</v>
      </c>
      <c r="D1043" s="8" t="s">
        <v>5</v>
      </c>
      <c r="E1043" s="8" t="s">
        <v>10</v>
      </c>
      <c r="F1043" s="5" t="s">
        <v>557</v>
      </c>
      <c r="G1043" s="40" t="s">
        <v>557</v>
      </c>
      <c r="H1043" s="5" t="s">
        <v>557</v>
      </c>
      <c r="I1043" s="5" t="s">
        <v>557</v>
      </c>
      <c r="J1043" s="40" t="s">
        <v>557</v>
      </c>
      <c r="K1043" s="12">
        <f t="shared" si="127"/>
        <v>352.4</v>
      </c>
      <c r="L1043" s="12">
        <f t="shared" si="127"/>
        <v>352.4</v>
      </c>
      <c r="M1043" s="12">
        <f t="shared" si="126"/>
        <v>100</v>
      </c>
      <c r="O1043" s="7"/>
      <c r="P1043" s="7"/>
      <c r="Q1043" s="7"/>
      <c r="R1043" s="7"/>
      <c r="S1043" s="7"/>
      <c r="T1043" s="7"/>
      <c r="U1043" s="7"/>
      <c r="V1043" s="7"/>
      <c r="W1043" s="7"/>
      <c r="X1043" s="7"/>
    </row>
    <row r="1044" spans="1:24" s="9" customFormat="1" ht="31.5" x14ac:dyDescent="0.2">
      <c r="A1044" s="85"/>
      <c r="B1044" s="41" t="s">
        <v>235</v>
      </c>
      <c r="C1044" s="62">
        <v>934</v>
      </c>
      <c r="D1044" s="8" t="s">
        <v>5</v>
      </c>
      <c r="E1044" s="8" t="s">
        <v>10</v>
      </c>
      <c r="F1044" s="8" t="s">
        <v>106</v>
      </c>
      <c r="G1044" s="40" t="s">
        <v>557</v>
      </c>
      <c r="H1044" s="5" t="s">
        <v>557</v>
      </c>
      <c r="I1044" s="5" t="s">
        <v>557</v>
      </c>
      <c r="J1044" s="40" t="s">
        <v>557</v>
      </c>
      <c r="K1044" s="12">
        <f>SUM(K1045)</f>
        <v>352.4</v>
      </c>
      <c r="L1044" s="12">
        <f>SUM(L1045)</f>
        <v>352.4</v>
      </c>
      <c r="M1044" s="12">
        <f t="shared" si="126"/>
        <v>100</v>
      </c>
      <c r="O1044" s="7"/>
      <c r="P1044" s="7"/>
      <c r="Q1044" s="7"/>
      <c r="R1044" s="7"/>
      <c r="S1044" s="7"/>
      <c r="T1044" s="7"/>
      <c r="U1044" s="7"/>
      <c r="V1044" s="7"/>
      <c r="W1044" s="7"/>
      <c r="X1044" s="7"/>
    </row>
    <row r="1045" spans="1:24" s="9" customFormat="1" ht="63" x14ac:dyDescent="0.2">
      <c r="A1045" s="85"/>
      <c r="B1045" s="41" t="s">
        <v>237</v>
      </c>
      <c r="C1045" s="62">
        <v>934</v>
      </c>
      <c r="D1045" s="8" t="s">
        <v>5</v>
      </c>
      <c r="E1045" s="8" t="s">
        <v>10</v>
      </c>
      <c r="F1045" s="8" t="s">
        <v>106</v>
      </c>
      <c r="G1045" s="8" t="s">
        <v>156</v>
      </c>
      <c r="H1045" s="5" t="s">
        <v>557</v>
      </c>
      <c r="I1045" s="5" t="s">
        <v>557</v>
      </c>
      <c r="J1045" s="40" t="s">
        <v>557</v>
      </c>
      <c r="K1045" s="12">
        <f t="shared" ref="K1045:L1047" si="128">SUM(K1046)</f>
        <v>352.4</v>
      </c>
      <c r="L1045" s="12">
        <f t="shared" si="128"/>
        <v>352.4</v>
      </c>
      <c r="M1045" s="12">
        <f t="shared" si="126"/>
        <v>100</v>
      </c>
      <c r="O1045" s="7"/>
      <c r="P1045" s="7"/>
      <c r="Q1045" s="7"/>
      <c r="R1045" s="7"/>
      <c r="S1045" s="7"/>
      <c r="T1045" s="7"/>
      <c r="U1045" s="7"/>
      <c r="V1045" s="7"/>
      <c r="W1045" s="7"/>
      <c r="X1045" s="7"/>
    </row>
    <row r="1046" spans="1:24" s="9" customFormat="1" ht="35.450000000000003" customHeight="1" x14ac:dyDescent="0.2">
      <c r="A1046" s="85"/>
      <c r="B1046" s="41" t="s">
        <v>179</v>
      </c>
      <c r="C1046" s="62">
        <v>934</v>
      </c>
      <c r="D1046" s="8" t="s">
        <v>5</v>
      </c>
      <c r="E1046" s="8" t="s">
        <v>10</v>
      </c>
      <c r="F1046" s="8" t="s">
        <v>106</v>
      </c>
      <c r="G1046" s="8" t="s">
        <v>156</v>
      </c>
      <c r="H1046" s="8" t="s">
        <v>2</v>
      </c>
      <c r="I1046" s="5" t="s">
        <v>557</v>
      </c>
      <c r="J1046" s="40" t="s">
        <v>557</v>
      </c>
      <c r="K1046" s="12">
        <f t="shared" si="128"/>
        <v>352.4</v>
      </c>
      <c r="L1046" s="12">
        <f t="shared" si="128"/>
        <v>352.4</v>
      </c>
      <c r="M1046" s="12">
        <f t="shared" si="126"/>
        <v>100</v>
      </c>
      <c r="O1046" s="7"/>
      <c r="P1046" s="7"/>
      <c r="Q1046" s="7"/>
      <c r="R1046" s="7"/>
      <c r="S1046" s="7"/>
      <c r="T1046" s="7"/>
      <c r="U1046" s="7"/>
      <c r="V1046" s="7"/>
      <c r="W1046" s="7"/>
      <c r="X1046" s="7"/>
    </row>
    <row r="1047" spans="1:24" s="9" customFormat="1" ht="47.25" x14ac:dyDescent="0.2">
      <c r="A1047" s="85"/>
      <c r="B1047" s="41" t="s">
        <v>180</v>
      </c>
      <c r="C1047" s="62">
        <v>934</v>
      </c>
      <c r="D1047" s="8" t="s">
        <v>5</v>
      </c>
      <c r="E1047" s="8" t="s">
        <v>10</v>
      </c>
      <c r="F1047" s="8" t="s">
        <v>106</v>
      </c>
      <c r="G1047" s="8" t="s">
        <v>156</v>
      </c>
      <c r="H1047" s="8" t="s">
        <v>2</v>
      </c>
      <c r="I1047" s="8" t="s">
        <v>183</v>
      </c>
      <c r="J1047" s="40" t="s">
        <v>557</v>
      </c>
      <c r="K1047" s="12">
        <f t="shared" si="128"/>
        <v>352.4</v>
      </c>
      <c r="L1047" s="12">
        <f t="shared" si="128"/>
        <v>352.4</v>
      </c>
      <c r="M1047" s="12">
        <f t="shared" si="126"/>
        <v>100</v>
      </c>
      <c r="O1047" s="7"/>
      <c r="P1047" s="7"/>
      <c r="Q1047" s="7"/>
      <c r="R1047" s="7"/>
      <c r="S1047" s="7"/>
      <c r="T1047" s="7"/>
      <c r="U1047" s="7"/>
      <c r="V1047" s="7"/>
      <c r="W1047" s="7"/>
      <c r="X1047" s="7"/>
    </row>
    <row r="1048" spans="1:24" s="9" customFormat="1" ht="31.15" customHeight="1" x14ac:dyDescent="0.2">
      <c r="A1048" s="85"/>
      <c r="B1048" s="19" t="s">
        <v>164</v>
      </c>
      <c r="C1048" s="62">
        <v>934</v>
      </c>
      <c r="D1048" s="8" t="s">
        <v>5</v>
      </c>
      <c r="E1048" s="8" t="s">
        <v>10</v>
      </c>
      <c r="F1048" s="8" t="s">
        <v>106</v>
      </c>
      <c r="G1048" s="8" t="s">
        <v>156</v>
      </c>
      <c r="H1048" s="8" t="s">
        <v>2</v>
      </c>
      <c r="I1048" s="8" t="s">
        <v>183</v>
      </c>
      <c r="J1048" s="61" t="s">
        <v>57</v>
      </c>
      <c r="K1048" s="12">
        <f>100+71.5+180.9</f>
        <v>352.4</v>
      </c>
      <c r="L1048" s="12">
        <f>100+71.5+180.9</f>
        <v>352.4</v>
      </c>
      <c r="M1048" s="12">
        <f t="shared" si="126"/>
        <v>100</v>
      </c>
      <c r="O1048" s="7"/>
      <c r="P1048" s="7"/>
      <c r="Q1048" s="7"/>
      <c r="R1048" s="7"/>
      <c r="S1048" s="7"/>
      <c r="T1048" s="7"/>
      <c r="U1048" s="7"/>
      <c r="V1048" s="7"/>
      <c r="W1048" s="7"/>
      <c r="X1048" s="7"/>
    </row>
    <row r="1049" spans="1:24" s="9" customFormat="1" x14ac:dyDescent="0.2">
      <c r="A1049" s="85"/>
      <c r="B1049" s="55" t="s">
        <v>18</v>
      </c>
      <c r="C1049" s="61">
        <v>934</v>
      </c>
      <c r="D1049" s="8" t="s">
        <v>8</v>
      </c>
      <c r="E1049" s="40" t="s">
        <v>557</v>
      </c>
      <c r="F1049" s="5" t="s">
        <v>557</v>
      </c>
      <c r="G1049" s="40" t="s">
        <v>557</v>
      </c>
      <c r="H1049" s="5" t="s">
        <v>557</v>
      </c>
      <c r="I1049" s="5" t="s">
        <v>557</v>
      </c>
      <c r="J1049" s="40" t="s">
        <v>557</v>
      </c>
      <c r="K1049" s="12">
        <f>K1056+K1078+K1050</f>
        <v>17350.699999999997</v>
      </c>
      <c r="L1049" s="12">
        <f>L1056+L1078+L1050</f>
        <v>17271.800000000003</v>
      </c>
      <c r="M1049" s="12">
        <f t="shared" si="126"/>
        <v>99.545263303497876</v>
      </c>
      <c r="O1049" s="7"/>
      <c r="P1049" s="7"/>
      <c r="Q1049" s="7"/>
      <c r="R1049" s="7"/>
      <c r="S1049" s="7"/>
      <c r="T1049" s="7"/>
      <c r="U1049" s="7"/>
      <c r="V1049" s="7"/>
      <c r="W1049" s="7"/>
      <c r="X1049" s="7"/>
    </row>
    <row r="1050" spans="1:24" s="9" customFormat="1" ht="31.5" x14ac:dyDescent="0.2">
      <c r="A1050" s="85"/>
      <c r="B1050" s="19" t="s">
        <v>375</v>
      </c>
      <c r="C1050" s="62">
        <v>934</v>
      </c>
      <c r="D1050" s="8" t="s">
        <v>8</v>
      </c>
      <c r="E1050" s="8" t="s">
        <v>7</v>
      </c>
      <c r="F1050" s="5" t="s">
        <v>557</v>
      </c>
      <c r="G1050" s="40" t="s">
        <v>557</v>
      </c>
      <c r="H1050" s="5" t="s">
        <v>557</v>
      </c>
      <c r="I1050" s="5" t="s">
        <v>557</v>
      </c>
      <c r="J1050" s="40" t="s">
        <v>557</v>
      </c>
      <c r="K1050" s="12">
        <f t="shared" ref="K1050:L1053" si="129">SUM(K1051)</f>
        <v>8</v>
      </c>
      <c r="L1050" s="12">
        <f t="shared" si="129"/>
        <v>7</v>
      </c>
      <c r="M1050" s="12">
        <f t="shared" si="126"/>
        <v>87.5</v>
      </c>
      <c r="O1050" s="7"/>
      <c r="P1050" s="7"/>
      <c r="Q1050" s="7"/>
      <c r="R1050" s="7"/>
      <c r="S1050" s="7"/>
      <c r="T1050" s="7"/>
      <c r="U1050" s="7"/>
      <c r="V1050" s="7"/>
      <c r="W1050" s="7"/>
      <c r="X1050" s="7"/>
    </row>
    <row r="1051" spans="1:24" s="9" customFormat="1" ht="32.25" customHeight="1" x14ac:dyDescent="0.2">
      <c r="A1051" s="85"/>
      <c r="B1051" s="19" t="s">
        <v>274</v>
      </c>
      <c r="C1051" s="62">
        <v>934</v>
      </c>
      <c r="D1051" s="8" t="s">
        <v>8</v>
      </c>
      <c r="E1051" s="8" t="s">
        <v>7</v>
      </c>
      <c r="F1051" s="8" t="s">
        <v>17</v>
      </c>
      <c r="G1051" s="40" t="s">
        <v>557</v>
      </c>
      <c r="H1051" s="5" t="s">
        <v>557</v>
      </c>
      <c r="I1051" s="5" t="s">
        <v>557</v>
      </c>
      <c r="J1051" s="40" t="s">
        <v>557</v>
      </c>
      <c r="K1051" s="12">
        <f t="shared" si="129"/>
        <v>8</v>
      </c>
      <c r="L1051" s="12">
        <f t="shared" si="129"/>
        <v>7</v>
      </c>
      <c r="M1051" s="12">
        <f t="shared" si="126"/>
        <v>87.5</v>
      </c>
      <c r="O1051" s="7"/>
      <c r="P1051" s="7"/>
      <c r="Q1051" s="7"/>
      <c r="R1051" s="7"/>
      <c r="S1051" s="7"/>
      <c r="T1051" s="7"/>
      <c r="U1051" s="7"/>
      <c r="V1051" s="7"/>
      <c r="W1051" s="7"/>
      <c r="X1051" s="7"/>
    </row>
    <row r="1052" spans="1:24" s="9" customFormat="1" ht="34.9" customHeight="1" x14ac:dyDescent="0.2">
      <c r="A1052" s="85"/>
      <c r="B1052" s="19" t="s">
        <v>275</v>
      </c>
      <c r="C1052" s="62">
        <v>934</v>
      </c>
      <c r="D1052" s="8" t="s">
        <v>8</v>
      </c>
      <c r="E1052" s="8" t="s">
        <v>7</v>
      </c>
      <c r="F1052" s="8" t="s">
        <v>17</v>
      </c>
      <c r="G1052" s="8" t="s">
        <v>116</v>
      </c>
      <c r="H1052" s="5" t="s">
        <v>557</v>
      </c>
      <c r="I1052" s="5" t="s">
        <v>557</v>
      </c>
      <c r="J1052" s="40" t="s">
        <v>557</v>
      </c>
      <c r="K1052" s="12">
        <f t="shared" si="129"/>
        <v>8</v>
      </c>
      <c r="L1052" s="12">
        <f t="shared" si="129"/>
        <v>7</v>
      </c>
      <c r="M1052" s="12">
        <f t="shared" si="126"/>
        <v>87.5</v>
      </c>
      <c r="O1052" s="7"/>
      <c r="P1052" s="7"/>
      <c r="Q1052" s="7"/>
      <c r="R1052" s="7"/>
      <c r="S1052" s="7"/>
      <c r="T1052" s="7"/>
      <c r="U1052" s="7"/>
      <c r="V1052" s="7"/>
      <c r="W1052" s="7"/>
      <c r="X1052" s="7"/>
    </row>
    <row r="1053" spans="1:24" s="9" customFormat="1" ht="47.25" x14ac:dyDescent="0.2">
      <c r="A1053" s="85"/>
      <c r="B1053" s="19" t="s">
        <v>160</v>
      </c>
      <c r="C1053" s="62">
        <v>934</v>
      </c>
      <c r="D1053" s="8" t="s">
        <v>8</v>
      </c>
      <c r="E1053" s="8" t="s">
        <v>7</v>
      </c>
      <c r="F1053" s="8" t="s">
        <v>17</v>
      </c>
      <c r="G1053" s="8" t="s">
        <v>116</v>
      </c>
      <c r="H1053" s="8" t="s">
        <v>2</v>
      </c>
      <c r="I1053" s="5" t="s">
        <v>557</v>
      </c>
      <c r="J1053" s="40" t="s">
        <v>557</v>
      </c>
      <c r="K1053" s="12">
        <f t="shared" si="129"/>
        <v>8</v>
      </c>
      <c r="L1053" s="12">
        <f t="shared" si="129"/>
        <v>7</v>
      </c>
      <c r="M1053" s="12">
        <f t="shared" si="126"/>
        <v>87.5</v>
      </c>
      <c r="O1053" s="7"/>
      <c r="P1053" s="7"/>
      <c r="Q1053" s="7"/>
      <c r="R1053" s="7"/>
      <c r="S1053" s="7"/>
      <c r="T1053" s="7"/>
      <c r="U1053" s="7"/>
      <c r="V1053" s="7"/>
      <c r="W1053" s="7"/>
      <c r="X1053" s="7"/>
    </row>
    <row r="1054" spans="1:24" s="9" customFormat="1" ht="15.6" customHeight="1" x14ac:dyDescent="0.2">
      <c r="A1054" s="85"/>
      <c r="B1054" s="19" t="s">
        <v>377</v>
      </c>
      <c r="C1054" s="62">
        <v>934</v>
      </c>
      <c r="D1054" s="8" t="s">
        <v>8</v>
      </c>
      <c r="E1054" s="8" t="s">
        <v>7</v>
      </c>
      <c r="F1054" s="8" t="s">
        <v>17</v>
      </c>
      <c r="G1054" s="8" t="s">
        <v>116</v>
      </c>
      <c r="H1054" s="8" t="s">
        <v>2</v>
      </c>
      <c r="I1054" s="8" t="s">
        <v>376</v>
      </c>
      <c r="J1054" s="40" t="s">
        <v>557</v>
      </c>
      <c r="K1054" s="12">
        <f>SUM(K1055)</f>
        <v>8</v>
      </c>
      <c r="L1054" s="12">
        <f>SUM(L1055)</f>
        <v>7</v>
      </c>
      <c r="M1054" s="12">
        <f t="shared" si="126"/>
        <v>87.5</v>
      </c>
      <c r="O1054" s="7"/>
      <c r="P1054" s="7"/>
      <c r="Q1054" s="7"/>
      <c r="R1054" s="7"/>
      <c r="S1054" s="7"/>
      <c r="T1054" s="7"/>
      <c r="U1054" s="7"/>
      <c r="V1054" s="7"/>
      <c r="W1054" s="7"/>
      <c r="X1054" s="7"/>
    </row>
    <row r="1055" spans="1:24" s="9" customFormat="1" ht="31.9" customHeight="1" x14ac:dyDescent="0.2">
      <c r="A1055" s="85"/>
      <c r="B1055" s="19" t="s">
        <v>164</v>
      </c>
      <c r="C1055" s="62">
        <v>934</v>
      </c>
      <c r="D1055" s="8" t="s">
        <v>8</v>
      </c>
      <c r="E1055" s="8" t="s">
        <v>7</v>
      </c>
      <c r="F1055" s="8" t="s">
        <v>17</v>
      </c>
      <c r="G1055" s="8" t="s">
        <v>116</v>
      </c>
      <c r="H1055" s="8" t="s">
        <v>2</v>
      </c>
      <c r="I1055" s="8" t="s">
        <v>376</v>
      </c>
      <c r="J1055" s="61" t="s">
        <v>57</v>
      </c>
      <c r="K1055" s="12">
        <v>8</v>
      </c>
      <c r="L1055" s="12">
        <v>7</v>
      </c>
      <c r="M1055" s="12">
        <f t="shared" si="126"/>
        <v>87.5</v>
      </c>
      <c r="O1055" s="7"/>
      <c r="P1055" s="7"/>
      <c r="Q1055" s="7"/>
      <c r="R1055" s="7"/>
      <c r="S1055" s="7"/>
      <c r="T1055" s="7"/>
      <c r="U1055" s="7"/>
      <c r="V1055" s="7"/>
      <c r="W1055" s="7"/>
      <c r="X1055" s="7"/>
    </row>
    <row r="1056" spans="1:24" s="9" customFormat="1" ht="19.149999999999999" customHeight="1" x14ac:dyDescent="0.2">
      <c r="A1056" s="85"/>
      <c r="B1056" s="55" t="s">
        <v>19</v>
      </c>
      <c r="C1056" s="61">
        <v>934</v>
      </c>
      <c r="D1056" s="8" t="s">
        <v>8</v>
      </c>
      <c r="E1056" s="8" t="s">
        <v>8</v>
      </c>
      <c r="F1056" s="5" t="s">
        <v>557</v>
      </c>
      <c r="G1056" s="40" t="s">
        <v>557</v>
      </c>
      <c r="H1056" s="5" t="s">
        <v>557</v>
      </c>
      <c r="I1056" s="5" t="s">
        <v>557</v>
      </c>
      <c r="J1056" s="40" t="s">
        <v>557</v>
      </c>
      <c r="K1056" s="12">
        <f>SUM(K1057+K1069)</f>
        <v>12602.3</v>
      </c>
      <c r="L1056" s="12">
        <f>SUM(L1057+L1069)</f>
        <v>12532.100000000002</v>
      </c>
      <c r="M1056" s="12">
        <f t="shared" si="126"/>
        <v>99.442958824976415</v>
      </c>
      <c r="O1056" s="7"/>
      <c r="P1056" s="7"/>
      <c r="Q1056" s="7"/>
      <c r="R1056" s="7"/>
      <c r="S1056" s="7"/>
      <c r="T1056" s="7"/>
      <c r="U1056" s="7"/>
      <c r="V1056" s="7"/>
      <c r="W1056" s="7"/>
      <c r="X1056" s="7"/>
    </row>
    <row r="1057" spans="1:24" s="9" customFormat="1" ht="31.5" x14ac:dyDescent="0.2">
      <c r="A1057" s="85"/>
      <c r="B1057" s="41" t="s">
        <v>274</v>
      </c>
      <c r="C1057" s="61">
        <v>934</v>
      </c>
      <c r="D1057" s="8" t="s">
        <v>8</v>
      </c>
      <c r="E1057" s="8" t="s">
        <v>8</v>
      </c>
      <c r="F1057" s="8" t="s">
        <v>17</v>
      </c>
      <c r="G1057" s="40" t="s">
        <v>557</v>
      </c>
      <c r="H1057" s="5" t="s">
        <v>557</v>
      </c>
      <c r="I1057" s="5" t="s">
        <v>557</v>
      </c>
      <c r="J1057" s="40" t="s">
        <v>557</v>
      </c>
      <c r="K1057" s="12">
        <f t="shared" ref="K1057:L1057" si="130">SUM(K1058)</f>
        <v>11246.5</v>
      </c>
      <c r="L1057" s="12">
        <f t="shared" si="130"/>
        <v>11176.300000000001</v>
      </c>
      <c r="M1057" s="12">
        <f t="shared" si="126"/>
        <v>99.375805806250838</v>
      </c>
      <c r="O1057" s="7"/>
      <c r="P1057" s="7"/>
      <c r="Q1057" s="7"/>
      <c r="R1057" s="7"/>
      <c r="S1057" s="7"/>
      <c r="T1057" s="7"/>
      <c r="U1057" s="7"/>
      <c r="V1057" s="7"/>
      <c r="W1057" s="7"/>
      <c r="X1057" s="7"/>
    </row>
    <row r="1058" spans="1:24" s="9" customFormat="1" ht="31.5" x14ac:dyDescent="0.2">
      <c r="A1058" s="85"/>
      <c r="B1058" s="41" t="s">
        <v>275</v>
      </c>
      <c r="C1058" s="61">
        <v>934</v>
      </c>
      <c r="D1058" s="8" t="s">
        <v>8</v>
      </c>
      <c r="E1058" s="8" t="s">
        <v>8</v>
      </c>
      <c r="F1058" s="8" t="s">
        <v>17</v>
      </c>
      <c r="G1058" s="8" t="s">
        <v>116</v>
      </c>
      <c r="H1058" s="5" t="s">
        <v>557</v>
      </c>
      <c r="I1058" s="5" t="s">
        <v>557</v>
      </c>
      <c r="J1058" s="40" t="s">
        <v>557</v>
      </c>
      <c r="K1058" s="12">
        <f>SUM(K1059+K1064)</f>
        <v>11246.5</v>
      </c>
      <c r="L1058" s="12">
        <f>SUM(L1059+L1064)</f>
        <v>11176.300000000001</v>
      </c>
      <c r="M1058" s="12">
        <f t="shared" si="126"/>
        <v>99.375805806250838</v>
      </c>
      <c r="O1058" s="7"/>
      <c r="P1058" s="7"/>
      <c r="Q1058" s="7"/>
      <c r="R1058" s="7"/>
      <c r="S1058" s="7"/>
      <c r="T1058" s="7"/>
      <c r="U1058" s="7"/>
      <c r="V1058" s="7"/>
      <c r="W1058" s="7"/>
      <c r="X1058" s="7"/>
    </row>
    <row r="1059" spans="1:24" s="9" customFormat="1" ht="47.25" x14ac:dyDescent="0.2">
      <c r="A1059" s="85"/>
      <c r="B1059" s="41" t="s">
        <v>430</v>
      </c>
      <c r="C1059" s="61">
        <v>934</v>
      </c>
      <c r="D1059" s="8" t="s">
        <v>8</v>
      </c>
      <c r="E1059" s="8" t="s">
        <v>8</v>
      </c>
      <c r="F1059" s="8" t="s">
        <v>17</v>
      </c>
      <c r="G1059" s="8" t="s">
        <v>116</v>
      </c>
      <c r="H1059" s="8" t="s">
        <v>4</v>
      </c>
      <c r="I1059" s="5" t="s">
        <v>557</v>
      </c>
      <c r="J1059" s="40" t="s">
        <v>557</v>
      </c>
      <c r="K1059" s="12">
        <f>SUM(K1060)</f>
        <v>9116.9</v>
      </c>
      <c r="L1059" s="12">
        <f>SUM(L1060)</f>
        <v>9046.7000000000007</v>
      </c>
      <c r="M1059" s="12">
        <f t="shared" si="126"/>
        <v>99.230001425923291</v>
      </c>
      <c r="O1059" s="7"/>
      <c r="P1059" s="7"/>
      <c r="Q1059" s="7"/>
      <c r="R1059" s="7"/>
      <c r="S1059" s="7"/>
      <c r="T1059" s="7"/>
      <c r="U1059" s="7"/>
      <c r="V1059" s="7"/>
      <c r="W1059" s="7"/>
      <c r="X1059" s="7"/>
    </row>
    <row r="1060" spans="1:24" s="9" customFormat="1" ht="63" customHeight="1" x14ac:dyDescent="0.2">
      <c r="A1060" s="85"/>
      <c r="B1060" s="19" t="s">
        <v>84</v>
      </c>
      <c r="C1060" s="61" t="s">
        <v>92</v>
      </c>
      <c r="D1060" s="8" t="s">
        <v>8</v>
      </c>
      <c r="E1060" s="8" t="s">
        <v>8</v>
      </c>
      <c r="F1060" s="8" t="s">
        <v>17</v>
      </c>
      <c r="G1060" s="8" t="s">
        <v>116</v>
      </c>
      <c r="H1060" s="8" t="s">
        <v>4</v>
      </c>
      <c r="I1060" s="8" t="s">
        <v>111</v>
      </c>
      <c r="J1060" s="40" t="s">
        <v>557</v>
      </c>
      <c r="K1060" s="12">
        <f>SUM(K1061:K1063)</f>
        <v>9116.9</v>
      </c>
      <c r="L1060" s="12">
        <f>SUM(L1061:L1063)</f>
        <v>9046.7000000000007</v>
      </c>
      <c r="M1060" s="12">
        <f t="shared" si="126"/>
        <v>99.230001425923291</v>
      </c>
      <c r="O1060" s="7"/>
      <c r="P1060" s="7"/>
      <c r="Q1060" s="7"/>
      <c r="R1060" s="7"/>
      <c r="S1060" s="7"/>
      <c r="T1060" s="7"/>
      <c r="U1060" s="7"/>
      <c r="V1060" s="7"/>
      <c r="W1060" s="7"/>
      <c r="X1060" s="7"/>
    </row>
    <row r="1061" spans="1:24" s="9" customFormat="1" ht="47.25" customHeight="1" x14ac:dyDescent="0.2">
      <c r="A1061" s="85"/>
      <c r="B1061" s="19" t="s">
        <v>54</v>
      </c>
      <c r="C1061" s="61" t="s">
        <v>92</v>
      </c>
      <c r="D1061" s="8" t="s">
        <v>8</v>
      </c>
      <c r="E1061" s="8" t="s">
        <v>8</v>
      </c>
      <c r="F1061" s="8" t="s">
        <v>17</v>
      </c>
      <c r="G1061" s="8" t="s">
        <v>116</v>
      </c>
      <c r="H1061" s="8" t="s">
        <v>4</v>
      </c>
      <c r="I1061" s="8" t="s">
        <v>111</v>
      </c>
      <c r="J1061" s="8" t="s">
        <v>55</v>
      </c>
      <c r="K1061" s="12">
        <f>6898.7+1000.9+706.7+0.1</f>
        <v>8606.4</v>
      </c>
      <c r="L1061" s="12">
        <v>8601.6</v>
      </c>
      <c r="M1061" s="12">
        <f t="shared" si="126"/>
        <v>99.94422755158952</v>
      </c>
      <c r="O1061" s="7"/>
      <c r="P1061" s="7"/>
      <c r="Q1061" s="7"/>
      <c r="R1061" s="7"/>
      <c r="S1061" s="7"/>
      <c r="T1061" s="7"/>
      <c r="U1061" s="7"/>
      <c r="V1061" s="7"/>
      <c r="W1061" s="7"/>
      <c r="X1061" s="7"/>
    </row>
    <row r="1062" spans="1:24" s="9" customFormat="1" ht="31.5" x14ac:dyDescent="0.2">
      <c r="A1062" s="85"/>
      <c r="B1062" s="19" t="s">
        <v>164</v>
      </c>
      <c r="C1062" s="61" t="s">
        <v>92</v>
      </c>
      <c r="D1062" s="8" t="s">
        <v>8</v>
      </c>
      <c r="E1062" s="8" t="s">
        <v>8</v>
      </c>
      <c r="F1062" s="8" t="s">
        <v>17</v>
      </c>
      <c r="G1062" s="8" t="s">
        <v>116</v>
      </c>
      <c r="H1062" s="8" t="s">
        <v>4</v>
      </c>
      <c r="I1062" s="8" t="s">
        <v>111</v>
      </c>
      <c r="J1062" s="8" t="s">
        <v>57</v>
      </c>
      <c r="K1062" s="12">
        <f>314.4+0.8+3+1.2+189.3+0.1</f>
        <v>508.8</v>
      </c>
      <c r="L1062" s="12">
        <v>445.1</v>
      </c>
      <c r="M1062" s="12">
        <f t="shared" si="126"/>
        <v>87.480345911949684</v>
      </c>
      <c r="O1062" s="7"/>
      <c r="P1062" s="7"/>
      <c r="Q1062" s="7"/>
      <c r="R1062" s="7"/>
      <c r="S1062" s="7"/>
      <c r="T1062" s="7"/>
      <c r="U1062" s="7"/>
      <c r="V1062" s="7"/>
      <c r="W1062" s="7"/>
      <c r="X1062" s="7"/>
    </row>
    <row r="1063" spans="1:24" s="9" customFormat="1" x14ac:dyDescent="0.2">
      <c r="A1063" s="85"/>
      <c r="B1063" s="19" t="s">
        <v>59</v>
      </c>
      <c r="C1063" s="61" t="s">
        <v>92</v>
      </c>
      <c r="D1063" s="8" t="s">
        <v>8</v>
      </c>
      <c r="E1063" s="8" t="s">
        <v>8</v>
      </c>
      <c r="F1063" s="8" t="s">
        <v>17</v>
      </c>
      <c r="G1063" s="8" t="s">
        <v>116</v>
      </c>
      <c r="H1063" s="8" t="s">
        <v>4</v>
      </c>
      <c r="I1063" s="8" t="s">
        <v>111</v>
      </c>
      <c r="J1063" s="8" t="s">
        <v>60</v>
      </c>
      <c r="K1063" s="12">
        <v>1.7</v>
      </c>
      <c r="L1063" s="12">
        <v>0</v>
      </c>
      <c r="M1063" s="12">
        <f t="shared" si="126"/>
        <v>0</v>
      </c>
      <c r="O1063" s="7"/>
      <c r="P1063" s="7"/>
      <c r="Q1063" s="7"/>
      <c r="R1063" s="7"/>
      <c r="S1063" s="7"/>
      <c r="T1063" s="7"/>
      <c r="U1063" s="7"/>
      <c r="V1063" s="7"/>
      <c r="W1063" s="7"/>
      <c r="X1063" s="7"/>
    </row>
    <row r="1064" spans="1:24" s="9" customFormat="1" ht="48" customHeight="1" x14ac:dyDescent="0.2">
      <c r="A1064" s="85"/>
      <c r="B1064" s="19" t="s">
        <v>340</v>
      </c>
      <c r="C1064" s="61">
        <v>934</v>
      </c>
      <c r="D1064" s="8" t="s">
        <v>8</v>
      </c>
      <c r="E1064" s="8" t="s">
        <v>8</v>
      </c>
      <c r="F1064" s="8" t="s">
        <v>17</v>
      </c>
      <c r="G1064" s="8" t="s">
        <v>116</v>
      </c>
      <c r="H1064" s="8" t="s">
        <v>5</v>
      </c>
      <c r="I1064" s="5" t="s">
        <v>557</v>
      </c>
      <c r="J1064" s="40" t="s">
        <v>557</v>
      </c>
      <c r="K1064" s="12">
        <f>K1065+K1067</f>
        <v>2129.6</v>
      </c>
      <c r="L1064" s="12">
        <f>L1065+L1067</f>
        <v>2129.6</v>
      </c>
      <c r="M1064" s="12">
        <f t="shared" si="126"/>
        <v>100</v>
      </c>
      <c r="O1064" s="7"/>
      <c r="P1064" s="7"/>
      <c r="Q1064" s="7"/>
      <c r="R1064" s="7"/>
      <c r="S1064" s="7"/>
      <c r="T1064" s="7"/>
      <c r="U1064" s="7"/>
      <c r="V1064" s="7"/>
      <c r="W1064" s="7"/>
      <c r="X1064" s="7"/>
    </row>
    <row r="1065" spans="1:24" s="9" customFormat="1" ht="31.9" customHeight="1" x14ac:dyDescent="0.2">
      <c r="A1065" s="85"/>
      <c r="B1065" s="19" t="s">
        <v>364</v>
      </c>
      <c r="C1065" s="61">
        <v>934</v>
      </c>
      <c r="D1065" s="8" t="s">
        <v>8</v>
      </c>
      <c r="E1065" s="8" t="s">
        <v>8</v>
      </c>
      <c r="F1065" s="8" t="s">
        <v>17</v>
      </c>
      <c r="G1065" s="8" t="s">
        <v>116</v>
      </c>
      <c r="H1065" s="8" t="s">
        <v>5</v>
      </c>
      <c r="I1065" s="8" t="s">
        <v>339</v>
      </c>
      <c r="J1065" s="40" t="s">
        <v>557</v>
      </c>
      <c r="K1065" s="12">
        <f>K1066</f>
        <v>1529.6</v>
      </c>
      <c r="L1065" s="12">
        <f>L1066</f>
        <v>1529.6</v>
      </c>
      <c r="M1065" s="12">
        <f t="shared" si="126"/>
        <v>100</v>
      </c>
      <c r="O1065" s="7"/>
      <c r="P1065" s="7"/>
      <c r="Q1065" s="7"/>
      <c r="R1065" s="7"/>
      <c r="S1065" s="7"/>
      <c r="T1065" s="7"/>
      <c r="U1065" s="7"/>
      <c r="V1065" s="7"/>
      <c r="W1065" s="7"/>
      <c r="X1065" s="7"/>
    </row>
    <row r="1066" spans="1:24" s="9" customFormat="1" ht="34.5" customHeight="1" x14ac:dyDescent="0.2">
      <c r="A1066" s="85"/>
      <c r="B1066" s="19" t="s">
        <v>164</v>
      </c>
      <c r="C1066" s="61">
        <v>934</v>
      </c>
      <c r="D1066" s="8" t="s">
        <v>8</v>
      </c>
      <c r="E1066" s="8" t="s">
        <v>8</v>
      </c>
      <c r="F1066" s="8" t="s">
        <v>17</v>
      </c>
      <c r="G1066" s="8" t="s">
        <v>116</v>
      </c>
      <c r="H1066" s="8" t="s">
        <v>5</v>
      </c>
      <c r="I1066" s="8" t="s">
        <v>339</v>
      </c>
      <c r="J1066" s="61" t="s">
        <v>57</v>
      </c>
      <c r="K1066" s="12">
        <f>762.8+762.8-0.1+75-70.9</f>
        <v>1529.6</v>
      </c>
      <c r="L1066" s="12">
        <f>762.8+762.8-0.1+75-70.9</f>
        <v>1529.6</v>
      </c>
      <c r="M1066" s="12">
        <f t="shared" si="126"/>
        <v>100</v>
      </c>
      <c r="O1066" s="7"/>
      <c r="P1066" s="7"/>
      <c r="Q1066" s="7"/>
      <c r="R1066" s="7"/>
      <c r="S1066" s="7"/>
      <c r="T1066" s="7"/>
      <c r="U1066" s="7"/>
      <c r="V1066" s="7"/>
      <c r="W1066" s="7"/>
      <c r="X1066" s="7"/>
    </row>
    <row r="1067" spans="1:24" s="9" customFormat="1" ht="47.25" x14ac:dyDescent="0.2">
      <c r="A1067" s="85"/>
      <c r="B1067" s="19" t="s">
        <v>475</v>
      </c>
      <c r="C1067" s="61">
        <v>934</v>
      </c>
      <c r="D1067" s="8" t="s">
        <v>8</v>
      </c>
      <c r="E1067" s="8" t="s">
        <v>8</v>
      </c>
      <c r="F1067" s="8" t="s">
        <v>17</v>
      </c>
      <c r="G1067" s="8" t="s">
        <v>116</v>
      </c>
      <c r="H1067" s="8" t="s">
        <v>5</v>
      </c>
      <c r="I1067" s="8" t="s">
        <v>474</v>
      </c>
      <c r="J1067" s="40" t="s">
        <v>557</v>
      </c>
      <c r="K1067" s="12">
        <f>K1068</f>
        <v>600</v>
      </c>
      <c r="L1067" s="12">
        <f>L1068</f>
        <v>600</v>
      </c>
      <c r="M1067" s="12">
        <f t="shared" si="126"/>
        <v>100</v>
      </c>
      <c r="O1067" s="7"/>
      <c r="P1067" s="7"/>
      <c r="Q1067" s="7"/>
      <c r="R1067" s="7"/>
      <c r="S1067" s="7"/>
      <c r="T1067" s="7"/>
      <c r="U1067" s="7"/>
      <c r="V1067" s="7"/>
      <c r="W1067" s="7"/>
      <c r="X1067" s="7"/>
    </row>
    <row r="1068" spans="1:24" s="9" customFormat="1" ht="32.450000000000003" customHeight="1" x14ac:dyDescent="0.2">
      <c r="A1068" s="85"/>
      <c r="B1068" s="19" t="s">
        <v>164</v>
      </c>
      <c r="C1068" s="61">
        <v>934</v>
      </c>
      <c r="D1068" s="8" t="s">
        <v>8</v>
      </c>
      <c r="E1068" s="8" t="s">
        <v>8</v>
      </c>
      <c r="F1068" s="8" t="s">
        <v>17</v>
      </c>
      <c r="G1068" s="8" t="s">
        <v>116</v>
      </c>
      <c r="H1068" s="8" t="s">
        <v>5</v>
      </c>
      <c r="I1068" s="8" t="s">
        <v>474</v>
      </c>
      <c r="J1068" s="61" t="s">
        <v>57</v>
      </c>
      <c r="K1068" s="12">
        <v>600</v>
      </c>
      <c r="L1068" s="12">
        <v>600</v>
      </c>
      <c r="M1068" s="12">
        <f t="shared" si="126"/>
        <v>100</v>
      </c>
      <c r="O1068" s="7"/>
      <c r="P1068" s="7"/>
      <c r="Q1068" s="7"/>
      <c r="R1068" s="7"/>
      <c r="S1068" s="7"/>
      <c r="T1068" s="7"/>
      <c r="U1068" s="7"/>
      <c r="V1068" s="7"/>
      <c r="W1068" s="7"/>
      <c r="X1068" s="7"/>
    </row>
    <row r="1069" spans="1:24" s="9" customFormat="1" ht="47.25" x14ac:dyDescent="0.2">
      <c r="A1069" s="85"/>
      <c r="B1069" s="19" t="s">
        <v>359</v>
      </c>
      <c r="C1069" s="61">
        <v>934</v>
      </c>
      <c r="D1069" s="8" t="s">
        <v>8</v>
      </c>
      <c r="E1069" s="8" t="s">
        <v>8</v>
      </c>
      <c r="F1069" s="8" t="s">
        <v>88</v>
      </c>
      <c r="G1069" s="40" t="s">
        <v>557</v>
      </c>
      <c r="H1069" s="5" t="s">
        <v>557</v>
      </c>
      <c r="I1069" s="5" t="s">
        <v>557</v>
      </c>
      <c r="J1069" s="40" t="s">
        <v>557</v>
      </c>
      <c r="K1069" s="12">
        <f>K1074+K1070</f>
        <v>1355.8000000000002</v>
      </c>
      <c r="L1069" s="12">
        <f>L1074+L1070</f>
        <v>1355.8000000000002</v>
      </c>
      <c r="M1069" s="12">
        <f t="shared" si="126"/>
        <v>100</v>
      </c>
      <c r="O1069" s="7"/>
      <c r="P1069" s="7"/>
      <c r="Q1069" s="7"/>
      <c r="R1069" s="7"/>
      <c r="S1069" s="7"/>
      <c r="T1069" s="7"/>
      <c r="U1069" s="7"/>
      <c r="V1069" s="7"/>
      <c r="W1069" s="7"/>
      <c r="X1069" s="7"/>
    </row>
    <row r="1070" spans="1:24" s="9" customFormat="1" ht="50.25" customHeight="1" x14ac:dyDescent="0.2">
      <c r="A1070" s="85"/>
      <c r="B1070" s="19" t="s">
        <v>461</v>
      </c>
      <c r="C1070" s="61">
        <v>934</v>
      </c>
      <c r="D1070" s="8" t="s">
        <v>8</v>
      </c>
      <c r="E1070" s="8" t="s">
        <v>8</v>
      </c>
      <c r="F1070" s="8" t="s">
        <v>88</v>
      </c>
      <c r="G1070" s="8" t="s">
        <v>116</v>
      </c>
      <c r="H1070" s="5" t="s">
        <v>557</v>
      </c>
      <c r="I1070" s="5" t="s">
        <v>557</v>
      </c>
      <c r="J1070" s="40" t="s">
        <v>557</v>
      </c>
      <c r="K1070" s="12">
        <f t="shared" ref="K1070:L1072" si="131">K1071</f>
        <v>75</v>
      </c>
      <c r="L1070" s="12">
        <f t="shared" si="131"/>
        <v>75</v>
      </c>
      <c r="M1070" s="12">
        <f t="shared" si="126"/>
        <v>100</v>
      </c>
      <c r="O1070" s="7"/>
      <c r="P1070" s="7"/>
      <c r="Q1070" s="7"/>
      <c r="R1070" s="7"/>
      <c r="S1070" s="7"/>
      <c r="T1070" s="7"/>
      <c r="U1070" s="7"/>
      <c r="V1070" s="7"/>
      <c r="W1070" s="7"/>
      <c r="X1070" s="7"/>
    </row>
    <row r="1071" spans="1:24" s="9" customFormat="1" ht="63" customHeight="1" x14ac:dyDescent="0.2">
      <c r="A1071" s="85"/>
      <c r="B1071" s="19" t="s">
        <v>462</v>
      </c>
      <c r="C1071" s="61">
        <v>934</v>
      </c>
      <c r="D1071" s="8" t="s">
        <v>8</v>
      </c>
      <c r="E1071" s="8" t="s">
        <v>8</v>
      </c>
      <c r="F1071" s="8" t="s">
        <v>88</v>
      </c>
      <c r="G1071" s="8" t="s">
        <v>116</v>
      </c>
      <c r="H1071" s="8" t="s">
        <v>2</v>
      </c>
      <c r="I1071" s="5" t="s">
        <v>557</v>
      </c>
      <c r="J1071" s="40" t="s">
        <v>557</v>
      </c>
      <c r="K1071" s="12">
        <f t="shared" si="131"/>
        <v>75</v>
      </c>
      <c r="L1071" s="12">
        <f t="shared" si="131"/>
        <v>75</v>
      </c>
      <c r="M1071" s="12">
        <f t="shared" si="126"/>
        <v>100</v>
      </c>
      <c r="O1071" s="7"/>
      <c r="P1071" s="7"/>
      <c r="Q1071" s="7"/>
      <c r="R1071" s="7"/>
      <c r="S1071" s="7"/>
      <c r="T1071" s="7"/>
      <c r="U1071" s="7"/>
      <c r="V1071" s="7"/>
      <c r="W1071" s="7"/>
      <c r="X1071" s="7"/>
    </row>
    <row r="1072" spans="1:24" s="9" customFormat="1" ht="111.75" customHeight="1" x14ac:dyDescent="0.2">
      <c r="A1072" s="85"/>
      <c r="B1072" s="19" t="s">
        <v>463</v>
      </c>
      <c r="C1072" s="61">
        <v>934</v>
      </c>
      <c r="D1072" s="8" t="s">
        <v>8</v>
      </c>
      <c r="E1072" s="8" t="s">
        <v>8</v>
      </c>
      <c r="F1072" s="8" t="s">
        <v>88</v>
      </c>
      <c r="G1072" s="8" t="s">
        <v>116</v>
      </c>
      <c r="H1072" s="8" t="s">
        <v>2</v>
      </c>
      <c r="I1072" s="8" t="s">
        <v>464</v>
      </c>
      <c r="J1072" s="40" t="s">
        <v>557</v>
      </c>
      <c r="K1072" s="12">
        <f t="shared" si="131"/>
        <v>75</v>
      </c>
      <c r="L1072" s="12">
        <f t="shared" si="131"/>
        <v>75</v>
      </c>
      <c r="M1072" s="12">
        <f t="shared" si="126"/>
        <v>100</v>
      </c>
      <c r="O1072" s="7"/>
      <c r="P1072" s="7"/>
      <c r="Q1072" s="7"/>
      <c r="R1072" s="7"/>
      <c r="S1072" s="7"/>
      <c r="T1072" s="7"/>
      <c r="U1072" s="7"/>
      <c r="V1072" s="7"/>
      <c r="W1072" s="7"/>
      <c r="X1072" s="7"/>
    </row>
    <row r="1073" spans="1:24" s="9" customFormat="1" ht="32.450000000000003" customHeight="1" x14ac:dyDescent="0.2">
      <c r="A1073" s="85"/>
      <c r="B1073" s="19" t="s">
        <v>164</v>
      </c>
      <c r="C1073" s="61">
        <v>934</v>
      </c>
      <c r="D1073" s="8" t="s">
        <v>8</v>
      </c>
      <c r="E1073" s="8" t="s">
        <v>8</v>
      </c>
      <c r="F1073" s="8" t="s">
        <v>88</v>
      </c>
      <c r="G1073" s="8" t="s">
        <v>116</v>
      </c>
      <c r="H1073" s="8" t="s">
        <v>2</v>
      </c>
      <c r="I1073" s="8" t="s">
        <v>464</v>
      </c>
      <c r="J1073" s="8" t="s">
        <v>57</v>
      </c>
      <c r="K1073" s="12">
        <v>75</v>
      </c>
      <c r="L1073" s="12">
        <v>75</v>
      </c>
      <c r="M1073" s="12">
        <f t="shared" si="126"/>
        <v>100</v>
      </c>
      <c r="O1073" s="7"/>
      <c r="P1073" s="7"/>
      <c r="Q1073" s="7"/>
      <c r="R1073" s="7"/>
      <c r="S1073" s="7"/>
      <c r="T1073" s="7"/>
      <c r="U1073" s="7"/>
      <c r="V1073" s="7"/>
      <c r="W1073" s="7"/>
      <c r="X1073" s="7"/>
    </row>
    <row r="1074" spans="1:24" s="9" customFormat="1" ht="48" customHeight="1" x14ac:dyDescent="0.2">
      <c r="A1074" s="85"/>
      <c r="B1074" s="19" t="s">
        <v>212</v>
      </c>
      <c r="C1074" s="61">
        <v>934</v>
      </c>
      <c r="D1074" s="8" t="s">
        <v>8</v>
      </c>
      <c r="E1074" s="8" t="s">
        <v>8</v>
      </c>
      <c r="F1074" s="8" t="s">
        <v>88</v>
      </c>
      <c r="G1074" s="63">
        <v>2</v>
      </c>
      <c r="H1074" s="5" t="s">
        <v>557</v>
      </c>
      <c r="I1074" s="5" t="s">
        <v>557</v>
      </c>
      <c r="J1074" s="40" t="s">
        <v>557</v>
      </c>
      <c r="K1074" s="12">
        <f t="shared" ref="K1074:L1076" si="132">K1075</f>
        <v>1280.8000000000002</v>
      </c>
      <c r="L1074" s="12">
        <f t="shared" si="132"/>
        <v>1280.8000000000002</v>
      </c>
      <c r="M1074" s="12">
        <f t="shared" si="126"/>
        <v>100</v>
      </c>
      <c r="O1074" s="7"/>
      <c r="P1074" s="7"/>
      <c r="Q1074" s="7"/>
      <c r="R1074" s="7"/>
      <c r="S1074" s="7"/>
      <c r="T1074" s="7"/>
      <c r="U1074" s="7"/>
      <c r="V1074" s="7"/>
      <c r="W1074" s="7"/>
      <c r="X1074" s="7"/>
    </row>
    <row r="1075" spans="1:24" s="9" customFormat="1" ht="111" customHeight="1" x14ac:dyDescent="0.2">
      <c r="A1075" s="85"/>
      <c r="B1075" s="54" t="s">
        <v>213</v>
      </c>
      <c r="C1075" s="61">
        <v>934</v>
      </c>
      <c r="D1075" s="8" t="s">
        <v>8</v>
      </c>
      <c r="E1075" s="8" t="s">
        <v>8</v>
      </c>
      <c r="F1075" s="8" t="s">
        <v>88</v>
      </c>
      <c r="G1075" s="63">
        <v>2</v>
      </c>
      <c r="H1075" s="8" t="s">
        <v>2</v>
      </c>
      <c r="I1075" s="5" t="s">
        <v>557</v>
      </c>
      <c r="J1075" s="40" t="s">
        <v>557</v>
      </c>
      <c r="K1075" s="12">
        <f t="shared" si="132"/>
        <v>1280.8000000000002</v>
      </c>
      <c r="L1075" s="12">
        <f t="shared" si="132"/>
        <v>1280.8000000000002</v>
      </c>
      <c r="M1075" s="12">
        <f t="shared" si="126"/>
        <v>100</v>
      </c>
      <c r="O1075" s="7"/>
      <c r="P1075" s="7"/>
      <c r="Q1075" s="7"/>
      <c r="R1075" s="7"/>
      <c r="S1075" s="7"/>
      <c r="T1075" s="7"/>
      <c r="U1075" s="7"/>
      <c r="V1075" s="7"/>
      <c r="W1075" s="7"/>
      <c r="X1075" s="7"/>
    </row>
    <row r="1076" spans="1:24" s="9" customFormat="1" ht="94.5" x14ac:dyDescent="0.2">
      <c r="A1076" s="85"/>
      <c r="B1076" s="19" t="s">
        <v>234</v>
      </c>
      <c r="C1076" s="61">
        <v>934</v>
      </c>
      <c r="D1076" s="8" t="s">
        <v>8</v>
      </c>
      <c r="E1076" s="8" t="s">
        <v>8</v>
      </c>
      <c r="F1076" s="8" t="s">
        <v>88</v>
      </c>
      <c r="G1076" s="63">
        <v>2</v>
      </c>
      <c r="H1076" s="8" t="s">
        <v>2</v>
      </c>
      <c r="I1076" s="8" t="s">
        <v>214</v>
      </c>
      <c r="J1076" s="40" t="s">
        <v>557</v>
      </c>
      <c r="K1076" s="12">
        <f t="shared" si="132"/>
        <v>1280.8000000000002</v>
      </c>
      <c r="L1076" s="12">
        <f t="shared" si="132"/>
        <v>1280.8000000000002</v>
      </c>
      <c r="M1076" s="12">
        <f t="shared" si="126"/>
        <v>100</v>
      </c>
      <c r="O1076" s="7"/>
      <c r="P1076" s="7"/>
      <c r="Q1076" s="7"/>
      <c r="R1076" s="7"/>
      <c r="S1076" s="7"/>
      <c r="T1076" s="7"/>
      <c r="U1076" s="7"/>
      <c r="V1076" s="7"/>
      <c r="W1076" s="7"/>
      <c r="X1076" s="7"/>
    </row>
    <row r="1077" spans="1:24" s="9" customFormat="1" ht="36" customHeight="1" x14ac:dyDescent="0.2">
      <c r="A1077" s="85"/>
      <c r="B1077" s="19" t="s">
        <v>164</v>
      </c>
      <c r="C1077" s="61">
        <v>934</v>
      </c>
      <c r="D1077" s="8" t="s">
        <v>8</v>
      </c>
      <c r="E1077" s="8" t="s">
        <v>8</v>
      </c>
      <c r="F1077" s="8" t="s">
        <v>88</v>
      </c>
      <c r="G1077" s="63">
        <v>2</v>
      </c>
      <c r="H1077" s="8" t="s">
        <v>2</v>
      </c>
      <c r="I1077" s="8" t="s">
        <v>214</v>
      </c>
      <c r="J1077" s="8" t="s">
        <v>57</v>
      </c>
      <c r="K1077" s="12">
        <f>47.4+33+40+30+422.8+180+19.1+22+75.4+6.6+11.5+143+250</f>
        <v>1280.8000000000002</v>
      </c>
      <c r="L1077" s="12">
        <f>47.4+33+40+30+422.8+180+19.1+22+75.4+6.6+11.5+143+250</f>
        <v>1280.8000000000002</v>
      </c>
      <c r="M1077" s="12">
        <f t="shared" si="126"/>
        <v>100</v>
      </c>
      <c r="O1077" s="7"/>
      <c r="P1077" s="7"/>
      <c r="Q1077" s="7"/>
      <c r="R1077" s="7"/>
      <c r="S1077" s="7"/>
      <c r="T1077" s="7"/>
      <c r="U1077" s="7"/>
      <c r="V1077" s="7"/>
      <c r="W1077" s="7"/>
      <c r="X1077" s="7"/>
    </row>
    <row r="1078" spans="1:24" s="9" customFormat="1" ht="18.600000000000001" customHeight="1" x14ac:dyDescent="0.2">
      <c r="A1078" s="85"/>
      <c r="B1078" s="19" t="s">
        <v>27</v>
      </c>
      <c r="C1078" s="61">
        <v>934</v>
      </c>
      <c r="D1078" s="8" t="s">
        <v>8</v>
      </c>
      <c r="E1078" s="8" t="s">
        <v>24</v>
      </c>
      <c r="F1078" s="5" t="s">
        <v>557</v>
      </c>
      <c r="G1078" s="40" t="s">
        <v>557</v>
      </c>
      <c r="H1078" s="5" t="s">
        <v>557</v>
      </c>
      <c r="I1078" s="5" t="s">
        <v>557</v>
      </c>
      <c r="J1078" s="40" t="s">
        <v>557</v>
      </c>
      <c r="K1078" s="12">
        <f t="shared" ref="K1078:L1080" si="133">K1079</f>
        <v>4740.3999999999996</v>
      </c>
      <c r="L1078" s="12">
        <f t="shared" si="133"/>
        <v>4732.7</v>
      </c>
      <c r="M1078" s="12">
        <f t="shared" si="126"/>
        <v>99.837566450088602</v>
      </c>
      <c r="O1078" s="7"/>
      <c r="P1078" s="7"/>
      <c r="Q1078" s="7"/>
      <c r="R1078" s="7"/>
      <c r="S1078" s="7"/>
      <c r="T1078" s="7"/>
      <c r="U1078" s="7"/>
      <c r="V1078" s="7"/>
      <c r="W1078" s="7"/>
      <c r="X1078" s="7"/>
    </row>
    <row r="1079" spans="1:24" s="9" customFormat="1" ht="31.5" x14ac:dyDescent="0.2">
      <c r="A1079" s="85"/>
      <c r="B1079" s="19" t="s">
        <v>274</v>
      </c>
      <c r="C1079" s="61">
        <v>934</v>
      </c>
      <c r="D1079" s="8" t="s">
        <v>8</v>
      </c>
      <c r="E1079" s="8" t="s">
        <v>24</v>
      </c>
      <c r="F1079" s="8" t="s">
        <v>17</v>
      </c>
      <c r="G1079" s="40" t="s">
        <v>557</v>
      </c>
      <c r="H1079" s="5" t="s">
        <v>557</v>
      </c>
      <c r="I1079" s="5" t="s">
        <v>557</v>
      </c>
      <c r="J1079" s="40" t="s">
        <v>557</v>
      </c>
      <c r="K1079" s="12">
        <f t="shared" si="133"/>
        <v>4740.3999999999996</v>
      </c>
      <c r="L1079" s="12">
        <f t="shared" si="133"/>
        <v>4732.7</v>
      </c>
      <c r="M1079" s="12">
        <f t="shared" si="126"/>
        <v>99.837566450088602</v>
      </c>
      <c r="O1079" s="7"/>
      <c r="P1079" s="7"/>
      <c r="Q1079" s="7"/>
      <c r="R1079" s="7"/>
      <c r="S1079" s="7"/>
      <c r="T1079" s="7"/>
      <c r="U1079" s="7"/>
      <c r="V1079" s="7"/>
      <c r="W1079" s="7"/>
      <c r="X1079" s="7"/>
    </row>
    <row r="1080" spans="1:24" s="9" customFormat="1" ht="35.450000000000003" customHeight="1" x14ac:dyDescent="0.2">
      <c r="A1080" s="85"/>
      <c r="B1080" s="19" t="s">
        <v>275</v>
      </c>
      <c r="C1080" s="61">
        <v>934</v>
      </c>
      <c r="D1080" s="8" t="s">
        <v>8</v>
      </c>
      <c r="E1080" s="8" t="s">
        <v>24</v>
      </c>
      <c r="F1080" s="8" t="s">
        <v>17</v>
      </c>
      <c r="G1080" s="8" t="s">
        <v>116</v>
      </c>
      <c r="H1080" s="5" t="s">
        <v>557</v>
      </c>
      <c r="I1080" s="5" t="s">
        <v>557</v>
      </c>
      <c r="J1080" s="40" t="s">
        <v>557</v>
      </c>
      <c r="K1080" s="12">
        <f t="shared" si="133"/>
        <v>4740.3999999999996</v>
      </c>
      <c r="L1080" s="12">
        <f t="shared" si="133"/>
        <v>4732.7</v>
      </c>
      <c r="M1080" s="12">
        <f t="shared" si="126"/>
        <v>99.837566450088602</v>
      </c>
      <c r="O1080" s="7"/>
      <c r="P1080" s="7"/>
      <c r="Q1080" s="7"/>
      <c r="R1080" s="7"/>
      <c r="S1080" s="7"/>
      <c r="T1080" s="7"/>
      <c r="U1080" s="7"/>
      <c r="V1080" s="7"/>
      <c r="W1080" s="7"/>
      <c r="X1080" s="7"/>
    </row>
    <row r="1081" spans="1:24" s="9" customFormat="1" ht="34.9" customHeight="1" x14ac:dyDescent="0.2">
      <c r="A1081" s="85"/>
      <c r="B1081" s="19" t="s">
        <v>160</v>
      </c>
      <c r="C1081" s="61">
        <v>934</v>
      </c>
      <c r="D1081" s="8" t="s">
        <v>8</v>
      </c>
      <c r="E1081" s="8" t="s">
        <v>24</v>
      </c>
      <c r="F1081" s="8" t="s">
        <v>17</v>
      </c>
      <c r="G1081" s="8" t="s">
        <v>116</v>
      </c>
      <c r="H1081" s="8" t="s">
        <v>2</v>
      </c>
      <c r="I1081" s="5" t="s">
        <v>557</v>
      </c>
      <c r="J1081" s="40" t="s">
        <v>557</v>
      </c>
      <c r="K1081" s="12">
        <f>K1082+K1086</f>
        <v>4740.3999999999996</v>
      </c>
      <c r="L1081" s="12">
        <f>L1082+L1086</f>
        <v>4732.7</v>
      </c>
      <c r="M1081" s="12">
        <f t="shared" si="126"/>
        <v>99.837566450088602</v>
      </c>
      <c r="O1081" s="7"/>
      <c r="P1081" s="7"/>
      <c r="Q1081" s="7"/>
      <c r="R1081" s="7"/>
      <c r="S1081" s="7"/>
      <c r="T1081" s="7"/>
      <c r="U1081" s="7"/>
      <c r="V1081" s="7"/>
      <c r="W1081" s="7"/>
      <c r="X1081" s="7"/>
    </row>
    <row r="1082" spans="1:24" s="9" customFormat="1" ht="31.5" x14ac:dyDescent="0.2">
      <c r="A1082" s="85"/>
      <c r="B1082" s="19" t="s">
        <v>74</v>
      </c>
      <c r="C1082" s="61">
        <v>934</v>
      </c>
      <c r="D1082" s="8" t="s">
        <v>8</v>
      </c>
      <c r="E1082" s="8" t="s">
        <v>24</v>
      </c>
      <c r="F1082" s="8" t="s">
        <v>17</v>
      </c>
      <c r="G1082" s="8" t="s">
        <v>116</v>
      </c>
      <c r="H1082" s="8" t="s">
        <v>2</v>
      </c>
      <c r="I1082" s="8" t="s">
        <v>99</v>
      </c>
      <c r="J1082" s="40" t="s">
        <v>557</v>
      </c>
      <c r="K1082" s="12">
        <f>K1083+K1084+K1085</f>
        <v>4729.5</v>
      </c>
      <c r="L1082" s="12">
        <f>L1083+L1084+L1085</f>
        <v>4721.8</v>
      </c>
      <c r="M1082" s="12">
        <f t="shared" si="126"/>
        <v>99.837192092187337</v>
      </c>
      <c r="O1082" s="7"/>
      <c r="P1082" s="7"/>
      <c r="Q1082" s="7"/>
      <c r="R1082" s="7"/>
      <c r="S1082" s="7"/>
      <c r="T1082" s="7"/>
      <c r="U1082" s="7"/>
      <c r="V1082" s="7"/>
      <c r="W1082" s="7"/>
      <c r="X1082" s="7"/>
    </row>
    <row r="1083" spans="1:24" s="9" customFormat="1" ht="50.25" customHeight="1" x14ac:dyDescent="0.2">
      <c r="A1083" s="85"/>
      <c r="B1083" s="19" t="s">
        <v>54</v>
      </c>
      <c r="C1083" s="61">
        <v>934</v>
      </c>
      <c r="D1083" s="8" t="s">
        <v>8</v>
      </c>
      <c r="E1083" s="8" t="s">
        <v>24</v>
      </c>
      <c r="F1083" s="8" t="s">
        <v>17</v>
      </c>
      <c r="G1083" s="8" t="s">
        <v>116</v>
      </c>
      <c r="H1083" s="8" t="s">
        <v>2</v>
      </c>
      <c r="I1083" s="8" t="s">
        <v>99</v>
      </c>
      <c r="J1083" s="8" t="s">
        <v>55</v>
      </c>
      <c r="K1083" s="12">
        <f>4257.1+726.4-336.8</f>
        <v>4646.7</v>
      </c>
      <c r="L1083" s="12">
        <v>4646.7</v>
      </c>
      <c r="M1083" s="12">
        <f t="shared" si="126"/>
        <v>100</v>
      </c>
      <c r="O1083" s="7"/>
      <c r="P1083" s="7"/>
      <c r="Q1083" s="7"/>
      <c r="R1083" s="7"/>
      <c r="S1083" s="7"/>
      <c r="T1083" s="7"/>
      <c r="U1083" s="7"/>
      <c r="V1083" s="7"/>
      <c r="W1083" s="7"/>
      <c r="X1083" s="7"/>
    </row>
    <row r="1084" spans="1:24" s="9" customFormat="1" ht="31.5" x14ac:dyDescent="0.2">
      <c r="A1084" s="85"/>
      <c r="B1084" s="19" t="s">
        <v>164</v>
      </c>
      <c r="C1084" s="61">
        <v>934</v>
      </c>
      <c r="D1084" s="8" t="s">
        <v>8</v>
      </c>
      <c r="E1084" s="8" t="s">
        <v>24</v>
      </c>
      <c r="F1084" s="8" t="s">
        <v>17</v>
      </c>
      <c r="G1084" s="8" t="s">
        <v>116</v>
      </c>
      <c r="H1084" s="8" t="s">
        <v>2</v>
      </c>
      <c r="I1084" s="8" t="s">
        <v>99</v>
      </c>
      <c r="J1084" s="8" t="s">
        <v>57</v>
      </c>
      <c r="K1084" s="12">
        <f>93.2+0.3+189.3-189.3-12.4</f>
        <v>81.099999999999994</v>
      </c>
      <c r="L1084" s="12">
        <v>75.099999999999994</v>
      </c>
      <c r="M1084" s="12">
        <f t="shared" si="126"/>
        <v>92.601726263871768</v>
      </c>
      <c r="O1084" s="7"/>
      <c r="P1084" s="7"/>
      <c r="Q1084" s="7"/>
      <c r="R1084" s="7"/>
      <c r="S1084" s="7"/>
      <c r="T1084" s="7"/>
      <c r="U1084" s="7"/>
      <c r="V1084" s="7"/>
      <c r="W1084" s="7"/>
      <c r="X1084" s="7"/>
    </row>
    <row r="1085" spans="1:24" s="9" customFormat="1" ht="19.899999999999999" customHeight="1" x14ac:dyDescent="0.2">
      <c r="A1085" s="85"/>
      <c r="B1085" s="19" t="s">
        <v>59</v>
      </c>
      <c r="C1085" s="61">
        <v>934</v>
      </c>
      <c r="D1085" s="8" t="s">
        <v>8</v>
      </c>
      <c r="E1085" s="8" t="s">
        <v>24</v>
      </c>
      <c r="F1085" s="8" t="s">
        <v>17</v>
      </c>
      <c r="G1085" s="8" t="s">
        <v>116</v>
      </c>
      <c r="H1085" s="8" t="s">
        <v>2</v>
      </c>
      <c r="I1085" s="8" t="s">
        <v>99</v>
      </c>
      <c r="J1085" s="8" t="s">
        <v>60</v>
      </c>
      <c r="K1085" s="12">
        <v>1.7</v>
      </c>
      <c r="L1085" s="12">
        <v>0</v>
      </c>
      <c r="M1085" s="12">
        <f t="shared" si="126"/>
        <v>0</v>
      </c>
      <c r="O1085" s="7"/>
      <c r="P1085" s="7"/>
      <c r="Q1085" s="7"/>
      <c r="R1085" s="7"/>
      <c r="S1085" s="7"/>
      <c r="T1085" s="7"/>
      <c r="U1085" s="7"/>
      <c r="V1085" s="7"/>
      <c r="W1085" s="7"/>
      <c r="X1085" s="7"/>
    </row>
    <row r="1086" spans="1:24" s="9" customFormat="1" ht="31.5" x14ac:dyDescent="0.2">
      <c r="A1086" s="85"/>
      <c r="B1086" s="19" t="s">
        <v>374</v>
      </c>
      <c r="C1086" s="62">
        <v>934</v>
      </c>
      <c r="D1086" s="8" t="s">
        <v>8</v>
      </c>
      <c r="E1086" s="8" t="s">
        <v>24</v>
      </c>
      <c r="F1086" s="8" t="s">
        <v>17</v>
      </c>
      <c r="G1086" s="63">
        <v>1</v>
      </c>
      <c r="H1086" s="8" t="s">
        <v>2</v>
      </c>
      <c r="I1086" s="8" t="s">
        <v>373</v>
      </c>
      <c r="J1086" s="40" t="s">
        <v>557</v>
      </c>
      <c r="K1086" s="12">
        <f>SUM(K1087)</f>
        <v>10.9</v>
      </c>
      <c r="L1086" s="12">
        <f>SUM(L1087)</f>
        <v>10.9</v>
      </c>
      <c r="M1086" s="12">
        <f t="shared" si="126"/>
        <v>100</v>
      </c>
      <c r="O1086" s="7"/>
      <c r="P1086" s="7"/>
      <c r="Q1086" s="7"/>
      <c r="R1086" s="7"/>
      <c r="S1086" s="7"/>
      <c r="T1086" s="7"/>
      <c r="U1086" s="7"/>
      <c r="V1086" s="7"/>
      <c r="W1086" s="7"/>
      <c r="X1086" s="7"/>
    </row>
    <row r="1087" spans="1:24" s="9" customFormat="1" ht="34.15" customHeight="1" x14ac:dyDescent="0.2">
      <c r="A1087" s="85"/>
      <c r="B1087" s="19" t="s">
        <v>164</v>
      </c>
      <c r="C1087" s="62">
        <v>934</v>
      </c>
      <c r="D1087" s="8" t="s">
        <v>8</v>
      </c>
      <c r="E1087" s="8" t="s">
        <v>24</v>
      </c>
      <c r="F1087" s="8" t="s">
        <v>17</v>
      </c>
      <c r="G1087" s="63">
        <v>1</v>
      </c>
      <c r="H1087" s="8" t="s">
        <v>2</v>
      </c>
      <c r="I1087" s="8" t="s">
        <v>373</v>
      </c>
      <c r="J1087" s="8" t="s">
        <v>57</v>
      </c>
      <c r="K1087" s="12">
        <v>10.9</v>
      </c>
      <c r="L1087" s="12">
        <v>10.9</v>
      </c>
      <c r="M1087" s="12">
        <f t="shared" si="126"/>
        <v>100</v>
      </c>
      <c r="O1087" s="7"/>
      <c r="P1087" s="7"/>
      <c r="Q1087" s="7"/>
      <c r="R1087" s="7"/>
      <c r="S1087" s="7"/>
      <c r="T1087" s="7"/>
      <c r="U1087" s="7"/>
      <c r="V1087" s="7"/>
      <c r="W1087" s="7"/>
      <c r="X1087" s="7"/>
    </row>
    <row r="1088" spans="1:24" s="9" customFormat="1" ht="30.75" customHeight="1" x14ac:dyDescent="0.2">
      <c r="A1088" s="85" t="s">
        <v>41</v>
      </c>
      <c r="B1088" s="19" t="s">
        <v>397</v>
      </c>
      <c r="C1088" s="62">
        <v>942</v>
      </c>
      <c r="D1088" s="40" t="s">
        <v>557</v>
      </c>
      <c r="E1088" s="40" t="s">
        <v>557</v>
      </c>
      <c r="F1088" s="5" t="s">
        <v>557</v>
      </c>
      <c r="G1088" s="40" t="s">
        <v>557</v>
      </c>
      <c r="H1088" s="5" t="s">
        <v>557</v>
      </c>
      <c r="I1088" s="5" t="s">
        <v>557</v>
      </c>
      <c r="J1088" s="40" t="s">
        <v>557</v>
      </c>
      <c r="K1088" s="12">
        <f>K1089+K1104</f>
        <v>51832.7</v>
      </c>
      <c r="L1088" s="12">
        <f>L1089+L1104</f>
        <v>51779.500000000007</v>
      </c>
      <c r="M1088" s="12">
        <f t="shared" si="126"/>
        <v>99.897362089954825</v>
      </c>
      <c r="O1088" s="7"/>
      <c r="P1088" s="7"/>
      <c r="Q1088" s="7"/>
      <c r="R1088" s="7"/>
      <c r="S1088" s="7"/>
      <c r="T1088" s="7"/>
      <c r="U1088" s="7"/>
      <c r="V1088" s="7"/>
      <c r="W1088" s="7"/>
      <c r="X1088" s="7"/>
    </row>
    <row r="1089" spans="1:24" s="9" customFormat="1" x14ac:dyDescent="0.2">
      <c r="A1089" s="85"/>
      <c r="B1089" s="19" t="s">
        <v>15</v>
      </c>
      <c r="C1089" s="62">
        <v>942</v>
      </c>
      <c r="D1089" s="8" t="s">
        <v>6</v>
      </c>
      <c r="E1089" s="40" t="s">
        <v>557</v>
      </c>
      <c r="F1089" s="5" t="s">
        <v>557</v>
      </c>
      <c r="G1089" s="40" t="s">
        <v>557</v>
      </c>
      <c r="H1089" s="5" t="s">
        <v>557</v>
      </c>
      <c r="I1089" s="5" t="s">
        <v>557</v>
      </c>
      <c r="J1089" s="40" t="s">
        <v>557</v>
      </c>
      <c r="K1089" s="12">
        <f t="shared" ref="K1089:L1092" si="134">K1090</f>
        <v>51807.6</v>
      </c>
      <c r="L1089" s="12">
        <f t="shared" si="134"/>
        <v>51779.500000000007</v>
      </c>
      <c r="M1089" s="12">
        <f t="shared" si="126"/>
        <v>99.945760853619944</v>
      </c>
      <c r="O1089" s="7"/>
      <c r="P1089" s="7"/>
      <c r="Q1089" s="7"/>
      <c r="R1089" s="7"/>
      <c r="S1089" s="7"/>
      <c r="T1089" s="7"/>
      <c r="U1089" s="7"/>
      <c r="V1089" s="7"/>
      <c r="W1089" s="7"/>
      <c r="X1089" s="7"/>
    </row>
    <row r="1090" spans="1:24" s="9" customFormat="1" x14ac:dyDescent="0.2">
      <c r="A1090" s="85"/>
      <c r="B1090" s="19" t="s">
        <v>86</v>
      </c>
      <c r="C1090" s="62">
        <v>942</v>
      </c>
      <c r="D1090" s="8" t="s">
        <v>6</v>
      </c>
      <c r="E1090" s="8" t="s">
        <v>17</v>
      </c>
      <c r="F1090" s="5" t="s">
        <v>557</v>
      </c>
      <c r="G1090" s="40" t="s">
        <v>557</v>
      </c>
      <c r="H1090" s="5" t="s">
        <v>557</v>
      </c>
      <c r="I1090" s="5" t="s">
        <v>557</v>
      </c>
      <c r="J1090" s="40" t="s">
        <v>557</v>
      </c>
      <c r="K1090" s="12">
        <f t="shared" si="134"/>
        <v>51807.6</v>
      </c>
      <c r="L1090" s="12">
        <f t="shared" si="134"/>
        <v>51779.500000000007</v>
      </c>
      <c r="M1090" s="12">
        <f t="shared" si="126"/>
        <v>99.945760853619944</v>
      </c>
      <c r="O1090" s="7"/>
      <c r="P1090" s="7"/>
      <c r="Q1090" s="7"/>
      <c r="R1090" s="7"/>
      <c r="S1090" s="7"/>
      <c r="T1090" s="7"/>
      <c r="U1090" s="7"/>
      <c r="V1090" s="7"/>
      <c r="W1090" s="7"/>
      <c r="X1090" s="7"/>
    </row>
    <row r="1091" spans="1:24" s="9" customFormat="1" ht="47.25" x14ac:dyDescent="0.2">
      <c r="A1091" s="85"/>
      <c r="B1091" s="19" t="s">
        <v>431</v>
      </c>
      <c r="C1091" s="62">
        <v>942</v>
      </c>
      <c r="D1091" s="8" t="s">
        <v>6</v>
      </c>
      <c r="E1091" s="8" t="s">
        <v>17</v>
      </c>
      <c r="F1091" s="8" t="s">
        <v>23</v>
      </c>
      <c r="G1091" s="40" t="s">
        <v>557</v>
      </c>
      <c r="H1091" s="5" t="s">
        <v>557</v>
      </c>
      <c r="I1091" s="5" t="s">
        <v>557</v>
      </c>
      <c r="J1091" s="40" t="s">
        <v>557</v>
      </c>
      <c r="K1091" s="12">
        <f t="shared" si="134"/>
        <v>51807.6</v>
      </c>
      <c r="L1091" s="12">
        <f t="shared" si="134"/>
        <v>51779.500000000007</v>
      </c>
      <c r="M1091" s="12">
        <f t="shared" si="126"/>
        <v>99.945760853619944</v>
      </c>
      <c r="O1091" s="7"/>
      <c r="P1091" s="7"/>
      <c r="Q1091" s="7"/>
      <c r="R1091" s="7"/>
      <c r="S1091" s="7"/>
      <c r="T1091" s="7"/>
      <c r="U1091" s="7"/>
      <c r="V1091" s="7"/>
      <c r="W1091" s="7"/>
      <c r="X1091" s="7"/>
    </row>
    <row r="1092" spans="1:24" s="9" customFormat="1" ht="63" x14ac:dyDescent="0.2">
      <c r="A1092" s="85"/>
      <c r="B1092" s="19" t="s">
        <v>432</v>
      </c>
      <c r="C1092" s="62">
        <v>942</v>
      </c>
      <c r="D1092" s="8" t="s">
        <v>6</v>
      </c>
      <c r="E1092" s="8" t="s">
        <v>17</v>
      </c>
      <c r="F1092" s="8" t="s">
        <v>23</v>
      </c>
      <c r="G1092" s="63">
        <v>1</v>
      </c>
      <c r="H1092" s="5" t="s">
        <v>557</v>
      </c>
      <c r="I1092" s="5" t="s">
        <v>557</v>
      </c>
      <c r="J1092" s="40" t="s">
        <v>557</v>
      </c>
      <c r="K1092" s="12">
        <f t="shared" si="134"/>
        <v>51807.6</v>
      </c>
      <c r="L1092" s="12">
        <f t="shared" si="134"/>
        <v>51779.500000000007</v>
      </c>
      <c r="M1092" s="12">
        <f t="shared" si="126"/>
        <v>99.945760853619944</v>
      </c>
      <c r="O1092" s="7"/>
      <c r="P1092" s="7"/>
      <c r="Q1092" s="7"/>
      <c r="R1092" s="7"/>
      <c r="S1092" s="7"/>
      <c r="T1092" s="7"/>
      <c r="U1092" s="7"/>
      <c r="V1092" s="7"/>
      <c r="W1092" s="7"/>
      <c r="X1092" s="7"/>
    </row>
    <row r="1093" spans="1:24" s="9" customFormat="1" ht="48.75" customHeight="1" x14ac:dyDescent="0.2">
      <c r="A1093" s="85"/>
      <c r="B1093" s="19" t="s">
        <v>398</v>
      </c>
      <c r="C1093" s="62">
        <v>942</v>
      </c>
      <c r="D1093" s="8" t="s">
        <v>6</v>
      </c>
      <c r="E1093" s="8" t="s">
        <v>17</v>
      </c>
      <c r="F1093" s="8" t="s">
        <v>23</v>
      </c>
      <c r="G1093" s="63">
        <v>1</v>
      </c>
      <c r="H1093" s="8" t="s">
        <v>2</v>
      </c>
      <c r="I1093" s="5" t="s">
        <v>557</v>
      </c>
      <c r="J1093" s="40" t="s">
        <v>557</v>
      </c>
      <c r="K1093" s="12">
        <f>K1094+K1098+K1100+K1102</f>
        <v>51807.6</v>
      </c>
      <c r="L1093" s="12">
        <f>L1094+L1098+L1100+L1102</f>
        <v>51779.500000000007</v>
      </c>
      <c r="M1093" s="12">
        <f t="shared" si="126"/>
        <v>99.945760853619944</v>
      </c>
      <c r="O1093" s="7"/>
      <c r="P1093" s="7"/>
      <c r="Q1093" s="7"/>
      <c r="R1093" s="7"/>
      <c r="S1093" s="7"/>
      <c r="T1093" s="7"/>
      <c r="U1093" s="7"/>
      <c r="V1093" s="7"/>
      <c r="W1093" s="7"/>
      <c r="X1093" s="7"/>
    </row>
    <row r="1094" spans="1:24" s="9" customFormat="1" ht="31.5" x14ac:dyDescent="0.2">
      <c r="A1094" s="85"/>
      <c r="B1094" s="19" t="s">
        <v>53</v>
      </c>
      <c r="C1094" s="62">
        <v>942</v>
      </c>
      <c r="D1094" s="8" t="s">
        <v>6</v>
      </c>
      <c r="E1094" s="8" t="s">
        <v>17</v>
      </c>
      <c r="F1094" s="8" t="s">
        <v>23</v>
      </c>
      <c r="G1094" s="63">
        <v>1</v>
      </c>
      <c r="H1094" s="8" t="s">
        <v>2</v>
      </c>
      <c r="I1094" s="8" t="s">
        <v>99</v>
      </c>
      <c r="J1094" s="40" t="s">
        <v>557</v>
      </c>
      <c r="K1094" s="12">
        <f>K1095+K1096+K1097</f>
        <v>5059.2</v>
      </c>
      <c r="L1094" s="12">
        <f>L1095+L1096+L1097</f>
        <v>5046</v>
      </c>
      <c r="M1094" s="12">
        <f t="shared" si="126"/>
        <v>99.739089184060731</v>
      </c>
      <c r="O1094" s="7"/>
      <c r="P1094" s="7"/>
      <c r="Q1094" s="7"/>
      <c r="R1094" s="7"/>
      <c r="S1094" s="7"/>
      <c r="T1094" s="7"/>
      <c r="U1094" s="7"/>
      <c r="V1094" s="7"/>
      <c r="W1094" s="7"/>
      <c r="X1094" s="7"/>
    </row>
    <row r="1095" spans="1:24" s="9" customFormat="1" ht="51.75" customHeight="1" x14ac:dyDescent="0.2">
      <c r="A1095" s="85"/>
      <c r="B1095" s="19" t="s">
        <v>54</v>
      </c>
      <c r="C1095" s="62">
        <v>942</v>
      </c>
      <c r="D1095" s="8" t="s">
        <v>6</v>
      </c>
      <c r="E1095" s="8" t="s">
        <v>17</v>
      </c>
      <c r="F1095" s="8" t="s">
        <v>23</v>
      </c>
      <c r="G1095" s="63">
        <v>1</v>
      </c>
      <c r="H1095" s="8" t="s">
        <v>2</v>
      </c>
      <c r="I1095" s="8" t="s">
        <v>99</v>
      </c>
      <c r="J1095" s="8" t="s">
        <v>55</v>
      </c>
      <c r="K1095" s="12">
        <f>3931.2+673.8+21.2+376.3</f>
        <v>5002.5</v>
      </c>
      <c r="L1095" s="12">
        <f>3931.2+673.8+21.2+376.3</f>
        <v>5002.5</v>
      </c>
      <c r="M1095" s="12">
        <f t="shared" si="126"/>
        <v>100</v>
      </c>
      <c r="O1095" s="7"/>
      <c r="P1095" s="7"/>
      <c r="Q1095" s="7"/>
      <c r="R1095" s="7"/>
      <c r="S1095" s="7"/>
      <c r="T1095" s="7"/>
      <c r="U1095" s="7"/>
      <c r="V1095" s="7"/>
      <c r="W1095" s="7"/>
      <c r="X1095" s="7"/>
    </row>
    <row r="1096" spans="1:24" s="9" customFormat="1" ht="31.5" x14ac:dyDescent="0.2">
      <c r="A1096" s="85"/>
      <c r="B1096" s="19" t="s">
        <v>164</v>
      </c>
      <c r="C1096" s="62">
        <v>942</v>
      </c>
      <c r="D1096" s="8" t="s">
        <v>6</v>
      </c>
      <c r="E1096" s="8" t="s">
        <v>17</v>
      </c>
      <c r="F1096" s="8" t="s">
        <v>23</v>
      </c>
      <c r="G1096" s="63">
        <v>1</v>
      </c>
      <c r="H1096" s="8" t="s">
        <v>2</v>
      </c>
      <c r="I1096" s="8" t="s">
        <v>99</v>
      </c>
      <c r="J1096" s="8" t="s">
        <v>57</v>
      </c>
      <c r="K1096" s="12">
        <f>135.9-21.2-66</f>
        <v>48.7</v>
      </c>
      <c r="L1096" s="12">
        <v>43.5</v>
      </c>
      <c r="M1096" s="12">
        <f t="shared" si="126"/>
        <v>89.322381930184804</v>
      </c>
      <c r="O1096" s="7"/>
      <c r="P1096" s="7"/>
      <c r="Q1096" s="7"/>
      <c r="R1096" s="7"/>
      <c r="S1096" s="7"/>
      <c r="T1096" s="7"/>
      <c r="U1096" s="7"/>
      <c r="V1096" s="7"/>
      <c r="W1096" s="7"/>
      <c r="X1096" s="7"/>
    </row>
    <row r="1097" spans="1:24" s="9" customFormat="1" x14ac:dyDescent="0.2">
      <c r="A1097" s="85"/>
      <c r="B1097" s="19" t="s">
        <v>59</v>
      </c>
      <c r="C1097" s="62">
        <v>942</v>
      </c>
      <c r="D1097" s="8" t="s">
        <v>6</v>
      </c>
      <c r="E1097" s="8" t="s">
        <v>17</v>
      </c>
      <c r="F1097" s="8" t="s">
        <v>23</v>
      </c>
      <c r="G1097" s="63">
        <v>1</v>
      </c>
      <c r="H1097" s="8" t="s">
        <v>2</v>
      </c>
      <c r="I1097" s="8" t="s">
        <v>99</v>
      </c>
      <c r="J1097" s="8" t="s">
        <v>60</v>
      </c>
      <c r="K1097" s="12">
        <v>8</v>
      </c>
      <c r="L1097" s="12">
        <v>0</v>
      </c>
      <c r="M1097" s="12">
        <f t="shared" si="126"/>
        <v>0</v>
      </c>
      <c r="O1097" s="7"/>
      <c r="P1097" s="7"/>
      <c r="Q1097" s="7"/>
      <c r="R1097" s="7"/>
      <c r="S1097" s="7"/>
      <c r="T1097" s="7"/>
      <c r="U1097" s="7"/>
      <c r="V1097" s="7"/>
      <c r="W1097" s="7"/>
      <c r="X1097" s="7"/>
    </row>
    <row r="1098" spans="1:24" s="9" customFormat="1" ht="63" customHeight="1" x14ac:dyDescent="0.2">
      <c r="A1098" s="85"/>
      <c r="B1098" s="19" t="s">
        <v>84</v>
      </c>
      <c r="C1098" s="62">
        <v>942</v>
      </c>
      <c r="D1098" s="8" t="s">
        <v>6</v>
      </c>
      <c r="E1098" s="8" t="s">
        <v>17</v>
      </c>
      <c r="F1098" s="8" t="s">
        <v>23</v>
      </c>
      <c r="G1098" s="63">
        <v>1</v>
      </c>
      <c r="H1098" s="8" t="s">
        <v>2</v>
      </c>
      <c r="I1098" s="8" t="s">
        <v>111</v>
      </c>
      <c r="J1098" s="40" t="s">
        <v>557</v>
      </c>
      <c r="K1098" s="12">
        <f>SUM(K1099)</f>
        <v>46615.8</v>
      </c>
      <c r="L1098" s="12">
        <f>SUM(L1099)</f>
        <v>46615.8</v>
      </c>
      <c r="M1098" s="12">
        <f t="shared" si="126"/>
        <v>100</v>
      </c>
      <c r="O1098" s="7"/>
      <c r="P1098" s="7"/>
      <c r="Q1098" s="7"/>
      <c r="R1098" s="7"/>
      <c r="S1098" s="7"/>
      <c r="T1098" s="7"/>
      <c r="U1098" s="7"/>
      <c r="V1098" s="7"/>
      <c r="W1098" s="7"/>
      <c r="X1098" s="7"/>
    </row>
    <row r="1099" spans="1:24" s="9" customFormat="1" ht="31.9" customHeight="1" x14ac:dyDescent="0.2">
      <c r="A1099" s="85"/>
      <c r="B1099" s="19" t="s">
        <v>72</v>
      </c>
      <c r="C1099" s="62">
        <v>942</v>
      </c>
      <c r="D1099" s="8" t="s">
        <v>6</v>
      </c>
      <c r="E1099" s="8" t="s">
        <v>17</v>
      </c>
      <c r="F1099" s="8" t="s">
        <v>23</v>
      </c>
      <c r="G1099" s="63">
        <v>1</v>
      </c>
      <c r="H1099" s="8" t="s">
        <v>2</v>
      </c>
      <c r="I1099" s="8" t="s">
        <v>111</v>
      </c>
      <c r="J1099" s="8" t="s">
        <v>73</v>
      </c>
      <c r="K1099" s="12">
        <v>46615.8</v>
      </c>
      <c r="L1099" s="12">
        <v>46615.8</v>
      </c>
      <c r="M1099" s="12">
        <f t="shared" si="126"/>
        <v>100</v>
      </c>
      <c r="O1099" s="7"/>
      <c r="P1099" s="7"/>
      <c r="Q1099" s="7"/>
      <c r="R1099" s="7"/>
      <c r="S1099" s="7"/>
      <c r="T1099" s="7"/>
      <c r="U1099" s="7"/>
      <c r="V1099" s="7"/>
      <c r="W1099" s="7"/>
      <c r="X1099" s="7"/>
    </row>
    <row r="1100" spans="1:24" s="9" customFormat="1" ht="31.5" x14ac:dyDescent="0.2">
      <c r="A1100" s="85"/>
      <c r="B1100" s="19" t="s">
        <v>374</v>
      </c>
      <c r="C1100" s="62">
        <v>942</v>
      </c>
      <c r="D1100" s="8" t="s">
        <v>6</v>
      </c>
      <c r="E1100" s="8" t="s">
        <v>17</v>
      </c>
      <c r="F1100" s="8" t="s">
        <v>23</v>
      </c>
      <c r="G1100" s="63">
        <v>1</v>
      </c>
      <c r="H1100" s="8" t="s">
        <v>2</v>
      </c>
      <c r="I1100" s="8" t="s">
        <v>373</v>
      </c>
      <c r="J1100" s="40" t="s">
        <v>557</v>
      </c>
      <c r="K1100" s="12">
        <f>K1101</f>
        <v>16.600000000000001</v>
      </c>
      <c r="L1100" s="12">
        <f>L1101</f>
        <v>15.3</v>
      </c>
      <c r="M1100" s="12">
        <f t="shared" si="126"/>
        <v>92.168674698795172</v>
      </c>
      <c r="O1100" s="7"/>
      <c r="P1100" s="7"/>
      <c r="Q1100" s="7"/>
      <c r="R1100" s="7"/>
      <c r="S1100" s="7"/>
      <c r="T1100" s="7"/>
      <c r="U1100" s="7"/>
      <c r="V1100" s="7"/>
      <c r="W1100" s="7"/>
      <c r="X1100" s="7"/>
    </row>
    <row r="1101" spans="1:24" s="9" customFormat="1" ht="31.5" customHeight="1" x14ac:dyDescent="0.2">
      <c r="A1101" s="85"/>
      <c r="B1101" s="19" t="s">
        <v>164</v>
      </c>
      <c r="C1101" s="62">
        <v>942</v>
      </c>
      <c r="D1101" s="8" t="s">
        <v>6</v>
      </c>
      <c r="E1101" s="8" t="s">
        <v>17</v>
      </c>
      <c r="F1101" s="8" t="s">
        <v>23</v>
      </c>
      <c r="G1101" s="63">
        <v>1</v>
      </c>
      <c r="H1101" s="8" t="s">
        <v>2</v>
      </c>
      <c r="I1101" s="8" t="s">
        <v>373</v>
      </c>
      <c r="J1101" s="8" t="s">
        <v>57</v>
      </c>
      <c r="K1101" s="12">
        <v>16.600000000000001</v>
      </c>
      <c r="L1101" s="12">
        <v>15.3</v>
      </c>
      <c r="M1101" s="12">
        <f t="shared" si="126"/>
        <v>92.168674698795172</v>
      </c>
      <c r="O1101" s="7"/>
      <c r="P1101" s="7"/>
      <c r="Q1101" s="7"/>
      <c r="R1101" s="7"/>
      <c r="S1101" s="7"/>
      <c r="T1101" s="7"/>
      <c r="U1101" s="7"/>
      <c r="V1101" s="7"/>
      <c r="W1101" s="7"/>
      <c r="X1101" s="7"/>
    </row>
    <row r="1102" spans="1:24" s="9" customFormat="1" ht="37.15" customHeight="1" x14ac:dyDescent="0.2">
      <c r="A1102" s="85"/>
      <c r="B1102" s="19" t="s">
        <v>381</v>
      </c>
      <c r="C1102" s="62">
        <v>942</v>
      </c>
      <c r="D1102" s="8" t="s">
        <v>6</v>
      </c>
      <c r="E1102" s="8" t="s">
        <v>17</v>
      </c>
      <c r="F1102" s="8" t="s">
        <v>23</v>
      </c>
      <c r="G1102" s="63">
        <v>1</v>
      </c>
      <c r="H1102" s="8" t="s">
        <v>2</v>
      </c>
      <c r="I1102" s="8" t="s">
        <v>380</v>
      </c>
      <c r="J1102" s="40" t="s">
        <v>557</v>
      </c>
      <c r="K1102" s="12">
        <f>K1103</f>
        <v>116</v>
      </c>
      <c r="L1102" s="12">
        <f>L1103</f>
        <v>102.4</v>
      </c>
      <c r="M1102" s="12">
        <f t="shared" ref="M1102:M1158" si="135">SUM(L1102/K1102*100)</f>
        <v>88.275862068965523</v>
      </c>
      <c r="O1102" s="7"/>
      <c r="P1102" s="7"/>
      <c r="Q1102" s="7"/>
      <c r="R1102" s="7"/>
      <c r="S1102" s="7"/>
      <c r="T1102" s="7"/>
      <c r="U1102" s="7"/>
      <c r="V1102" s="7"/>
      <c r="W1102" s="7"/>
      <c r="X1102" s="7"/>
    </row>
    <row r="1103" spans="1:24" s="9" customFormat="1" ht="30.75" customHeight="1" x14ac:dyDescent="0.2">
      <c r="A1103" s="85"/>
      <c r="B1103" s="19" t="s">
        <v>164</v>
      </c>
      <c r="C1103" s="62">
        <v>942</v>
      </c>
      <c r="D1103" s="8" t="s">
        <v>6</v>
      </c>
      <c r="E1103" s="8" t="s">
        <v>17</v>
      </c>
      <c r="F1103" s="8" t="s">
        <v>23</v>
      </c>
      <c r="G1103" s="63">
        <v>1</v>
      </c>
      <c r="H1103" s="8" t="s">
        <v>2</v>
      </c>
      <c r="I1103" s="8" t="s">
        <v>380</v>
      </c>
      <c r="J1103" s="8" t="s">
        <v>57</v>
      </c>
      <c r="K1103" s="12">
        <v>116</v>
      </c>
      <c r="L1103" s="12">
        <v>102.4</v>
      </c>
      <c r="M1103" s="12">
        <f t="shared" si="135"/>
        <v>88.275862068965523</v>
      </c>
      <c r="O1103" s="7"/>
      <c r="P1103" s="7"/>
      <c r="Q1103" s="7"/>
      <c r="R1103" s="7"/>
      <c r="S1103" s="7"/>
      <c r="T1103" s="7"/>
      <c r="U1103" s="7"/>
      <c r="V1103" s="7"/>
      <c r="W1103" s="7"/>
      <c r="X1103" s="7"/>
    </row>
    <row r="1104" spans="1:24" s="9" customFormat="1" x14ac:dyDescent="0.2">
      <c r="A1104" s="85"/>
      <c r="B1104" s="19" t="s">
        <v>18</v>
      </c>
      <c r="C1104" s="62">
        <v>942</v>
      </c>
      <c r="D1104" s="8" t="s">
        <v>8</v>
      </c>
      <c r="E1104" s="40" t="s">
        <v>557</v>
      </c>
      <c r="F1104" s="5" t="s">
        <v>557</v>
      </c>
      <c r="G1104" s="40" t="s">
        <v>557</v>
      </c>
      <c r="H1104" s="5" t="s">
        <v>557</v>
      </c>
      <c r="I1104" s="5" t="s">
        <v>557</v>
      </c>
      <c r="J1104" s="40" t="s">
        <v>557</v>
      </c>
      <c r="K1104" s="12">
        <f t="shared" ref="K1104:L1108" si="136">SUM(K1105)</f>
        <v>25.1</v>
      </c>
      <c r="L1104" s="12">
        <f t="shared" si="136"/>
        <v>0</v>
      </c>
      <c r="M1104" s="12">
        <f t="shared" si="135"/>
        <v>0</v>
      </c>
      <c r="O1104" s="7"/>
      <c r="P1104" s="7"/>
      <c r="Q1104" s="7"/>
      <c r="R1104" s="7"/>
      <c r="S1104" s="7"/>
      <c r="T1104" s="7"/>
      <c r="U1104" s="7"/>
      <c r="V1104" s="7"/>
      <c r="W1104" s="7"/>
      <c r="X1104" s="7"/>
    </row>
    <row r="1105" spans="1:24" s="9" customFormat="1" ht="31.5" x14ac:dyDescent="0.2">
      <c r="A1105" s="85"/>
      <c r="B1105" s="19" t="s">
        <v>375</v>
      </c>
      <c r="C1105" s="62">
        <v>942</v>
      </c>
      <c r="D1105" s="8" t="s">
        <v>8</v>
      </c>
      <c r="E1105" s="8" t="s">
        <v>7</v>
      </c>
      <c r="F1105" s="5" t="s">
        <v>557</v>
      </c>
      <c r="G1105" s="40" t="s">
        <v>557</v>
      </c>
      <c r="H1105" s="5" t="s">
        <v>557</v>
      </c>
      <c r="I1105" s="5" t="s">
        <v>557</v>
      </c>
      <c r="J1105" s="40" t="s">
        <v>557</v>
      </c>
      <c r="K1105" s="12">
        <f t="shared" si="136"/>
        <v>25.1</v>
      </c>
      <c r="L1105" s="12">
        <f t="shared" si="136"/>
        <v>0</v>
      </c>
      <c r="M1105" s="12">
        <f t="shared" si="135"/>
        <v>0</v>
      </c>
      <c r="O1105" s="7"/>
      <c r="P1105" s="7"/>
      <c r="Q1105" s="7"/>
      <c r="R1105" s="7"/>
      <c r="S1105" s="7"/>
      <c r="T1105" s="7"/>
      <c r="U1105" s="7"/>
      <c r="V1105" s="7"/>
      <c r="W1105" s="7"/>
      <c r="X1105" s="7"/>
    </row>
    <row r="1106" spans="1:24" s="9" customFormat="1" ht="47.25" x14ac:dyDescent="0.2">
      <c r="A1106" s="85"/>
      <c r="B1106" s="19" t="s">
        <v>431</v>
      </c>
      <c r="C1106" s="62">
        <v>942</v>
      </c>
      <c r="D1106" s="8" t="s">
        <v>8</v>
      </c>
      <c r="E1106" s="8" t="s">
        <v>7</v>
      </c>
      <c r="F1106" s="8" t="s">
        <v>23</v>
      </c>
      <c r="G1106" s="40" t="s">
        <v>557</v>
      </c>
      <c r="H1106" s="5" t="s">
        <v>557</v>
      </c>
      <c r="I1106" s="5" t="s">
        <v>557</v>
      </c>
      <c r="J1106" s="40" t="s">
        <v>557</v>
      </c>
      <c r="K1106" s="12">
        <f t="shared" si="136"/>
        <v>25.1</v>
      </c>
      <c r="L1106" s="12">
        <f t="shared" si="136"/>
        <v>0</v>
      </c>
      <c r="M1106" s="12">
        <f t="shared" si="135"/>
        <v>0</v>
      </c>
      <c r="O1106" s="7"/>
      <c r="P1106" s="7"/>
      <c r="Q1106" s="7"/>
      <c r="R1106" s="7"/>
      <c r="S1106" s="7"/>
      <c r="T1106" s="7"/>
      <c r="U1106" s="7"/>
      <c r="V1106" s="7"/>
      <c r="W1106" s="7"/>
      <c r="X1106" s="7"/>
    </row>
    <row r="1107" spans="1:24" s="9" customFormat="1" ht="63" x14ac:dyDescent="0.2">
      <c r="A1107" s="85"/>
      <c r="B1107" s="19" t="s">
        <v>432</v>
      </c>
      <c r="C1107" s="62">
        <v>942</v>
      </c>
      <c r="D1107" s="8" t="s">
        <v>8</v>
      </c>
      <c r="E1107" s="8" t="s">
        <v>7</v>
      </c>
      <c r="F1107" s="8" t="s">
        <v>23</v>
      </c>
      <c r="G1107" s="63">
        <v>1</v>
      </c>
      <c r="H1107" s="5" t="s">
        <v>557</v>
      </c>
      <c r="I1107" s="5" t="s">
        <v>557</v>
      </c>
      <c r="J1107" s="40" t="s">
        <v>557</v>
      </c>
      <c r="K1107" s="12">
        <f t="shared" si="136"/>
        <v>25.1</v>
      </c>
      <c r="L1107" s="12">
        <f t="shared" si="136"/>
        <v>0</v>
      </c>
      <c r="M1107" s="12">
        <f t="shared" si="135"/>
        <v>0</v>
      </c>
      <c r="O1107" s="7"/>
      <c r="P1107" s="7"/>
      <c r="Q1107" s="7"/>
      <c r="R1107" s="7"/>
      <c r="S1107" s="7"/>
      <c r="T1107" s="7"/>
      <c r="U1107" s="7"/>
      <c r="V1107" s="7"/>
      <c r="W1107" s="7"/>
      <c r="X1107" s="7"/>
    </row>
    <row r="1108" spans="1:24" s="9" customFormat="1" ht="34.15" customHeight="1" x14ac:dyDescent="0.2">
      <c r="A1108" s="85"/>
      <c r="B1108" s="19" t="s">
        <v>398</v>
      </c>
      <c r="C1108" s="62">
        <v>942</v>
      </c>
      <c r="D1108" s="8" t="s">
        <v>8</v>
      </c>
      <c r="E1108" s="8" t="s">
        <v>7</v>
      </c>
      <c r="F1108" s="8" t="s">
        <v>23</v>
      </c>
      <c r="G1108" s="63">
        <v>1</v>
      </c>
      <c r="H1108" s="8" t="s">
        <v>2</v>
      </c>
      <c r="I1108" s="5" t="s">
        <v>557</v>
      </c>
      <c r="J1108" s="40" t="s">
        <v>557</v>
      </c>
      <c r="K1108" s="12">
        <f t="shared" si="136"/>
        <v>25.1</v>
      </c>
      <c r="L1108" s="12">
        <f t="shared" si="136"/>
        <v>0</v>
      </c>
      <c r="M1108" s="12">
        <f t="shared" si="135"/>
        <v>0</v>
      </c>
      <c r="O1108" s="7"/>
      <c r="P1108" s="7"/>
      <c r="Q1108" s="7"/>
      <c r="R1108" s="7"/>
      <c r="S1108" s="7"/>
      <c r="T1108" s="7"/>
      <c r="U1108" s="7"/>
      <c r="V1108" s="7"/>
      <c r="W1108" s="7"/>
      <c r="X1108" s="7"/>
    </row>
    <row r="1109" spans="1:24" s="9" customFormat="1" ht="16.5" customHeight="1" x14ac:dyDescent="0.2">
      <c r="A1109" s="85"/>
      <c r="B1109" s="19" t="s">
        <v>377</v>
      </c>
      <c r="C1109" s="62">
        <v>942</v>
      </c>
      <c r="D1109" s="8" t="s">
        <v>8</v>
      </c>
      <c r="E1109" s="8" t="s">
        <v>7</v>
      </c>
      <c r="F1109" s="8" t="s">
        <v>23</v>
      </c>
      <c r="G1109" s="63">
        <v>1</v>
      </c>
      <c r="H1109" s="8" t="s">
        <v>2</v>
      </c>
      <c r="I1109" s="8" t="s">
        <v>376</v>
      </c>
      <c r="J1109" s="40" t="s">
        <v>557</v>
      </c>
      <c r="K1109" s="12">
        <f>K1110</f>
        <v>25.1</v>
      </c>
      <c r="L1109" s="12">
        <f>L1110</f>
        <v>0</v>
      </c>
      <c r="M1109" s="12">
        <f t="shared" si="135"/>
        <v>0</v>
      </c>
      <c r="O1109" s="7"/>
      <c r="P1109" s="7"/>
      <c r="Q1109" s="7"/>
      <c r="R1109" s="7"/>
      <c r="S1109" s="7"/>
      <c r="T1109" s="7"/>
      <c r="U1109" s="7"/>
      <c r="V1109" s="7"/>
      <c r="W1109" s="7"/>
      <c r="X1109" s="7"/>
    </row>
    <row r="1110" spans="1:24" ht="33" customHeight="1" x14ac:dyDescent="0.2">
      <c r="A1110" s="85"/>
      <c r="B1110" s="19" t="s">
        <v>164</v>
      </c>
      <c r="C1110" s="62">
        <v>942</v>
      </c>
      <c r="D1110" s="8" t="s">
        <v>8</v>
      </c>
      <c r="E1110" s="8" t="s">
        <v>7</v>
      </c>
      <c r="F1110" s="8" t="s">
        <v>23</v>
      </c>
      <c r="G1110" s="63">
        <v>1</v>
      </c>
      <c r="H1110" s="8" t="s">
        <v>2</v>
      </c>
      <c r="I1110" s="8" t="s">
        <v>376</v>
      </c>
      <c r="J1110" s="8" t="s">
        <v>57</v>
      </c>
      <c r="K1110" s="12">
        <v>25.1</v>
      </c>
      <c r="L1110" s="12">
        <v>0</v>
      </c>
      <c r="M1110" s="12">
        <f t="shared" si="135"/>
        <v>0</v>
      </c>
    </row>
    <row r="1111" spans="1:24" ht="35.450000000000003" customHeight="1" x14ac:dyDescent="0.2">
      <c r="A1111" s="85" t="s">
        <v>10</v>
      </c>
      <c r="B1111" s="19" t="s">
        <v>167</v>
      </c>
      <c r="C1111" s="61" t="s">
        <v>168</v>
      </c>
      <c r="D1111" s="40" t="s">
        <v>557</v>
      </c>
      <c r="E1111" s="40" t="s">
        <v>557</v>
      </c>
      <c r="F1111" s="5" t="s">
        <v>557</v>
      </c>
      <c r="G1111" s="40" t="s">
        <v>557</v>
      </c>
      <c r="H1111" s="5" t="s">
        <v>557</v>
      </c>
      <c r="I1111" s="5" t="s">
        <v>557</v>
      </c>
      <c r="J1111" s="40" t="s">
        <v>557</v>
      </c>
      <c r="K1111" s="12">
        <f>SUM(K1112+K1144+K1138)</f>
        <v>17919.400000000001</v>
      </c>
      <c r="L1111" s="12">
        <f>SUM(L1112+L1144+L1138)</f>
        <v>17296.899999999998</v>
      </c>
      <c r="M1111" s="12">
        <f t="shared" si="135"/>
        <v>96.526111365335879</v>
      </c>
    </row>
    <row r="1112" spans="1:24" ht="19.149999999999999" customHeight="1" x14ac:dyDescent="0.2">
      <c r="A1112" s="85"/>
      <c r="B1112" s="19" t="s">
        <v>1</v>
      </c>
      <c r="C1112" s="61" t="s">
        <v>168</v>
      </c>
      <c r="D1112" s="8" t="s">
        <v>2</v>
      </c>
      <c r="E1112" s="40" t="s">
        <v>557</v>
      </c>
      <c r="F1112" s="5" t="s">
        <v>557</v>
      </c>
      <c r="G1112" s="40" t="s">
        <v>557</v>
      </c>
      <c r="H1112" s="5" t="s">
        <v>557</v>
      </c>
      <c r="I1112" s="5" t="s">
        <v>557</v>
      </c>
      <c r="J1112" s="40" t="s">
        <v>557</v>
      </c>
      <c r="K1112" s="12">
        <f t="shared" ref="K1112:L1114" si="137">SUM(K1113)</f>
        <v>16214.300000000001</v>
      </c>
      <c r="L1112" s="12">
        <f t="shared" si="137"/>
        <v>15591.799999999997</v>
      </c>
      <c r="M1112" s="12">
        <f t="shared" si="135"/>
        <v>96.160796334100127</v>
      </c>
    </row>
    <row r="1113" spans="1:24" ht="18" customHeight="1" x14ac:dyDescent="0.2">
      <c r="A1113" s="85"/>
      <c r="B1113" s="19" t="s">
        <v>9</v>
      </c>
      <c r="C1113" s="61" t="s">
        <v>168</v>
      </c>
      <c r="D1113" s="8" t="s">
        <v>2</v>
      </c>
      <c r="E1113" s="8" t="s">
        <v>41</v>
      </c>
      <c r="F1113" s="5" t="s">
        <v>557</v>
      </c>
      <c r="G1113" s="40" t="s">
        <v>557</v>
      </c>
      <c r="H1113" s="5" t="s">
        <v>557</v>
      </c>
      <c r="I1113" s="5" t="s">
        <v>557</v>
      </c>
      <c r="J1113" s="40" t="s">
        <v>557</v>
      </c>
      <c r="K1113" s="12">
        <f>SUM(K1114)</f>
        <v>16214.300000000001</v>
      </c>
      <c r="L1113" s="12">
        <f>SUM(L1114)</f>
        <v>15591.799999999997</v>
      </c>
      <c r="M1113" s="12">
        <f t="shared" si="135"/>
        <v>96.160796334100127</v>
      </c>
    </row>
    <row r="1114" spans="1:24" ht="33" customHeight="1" x14ac:dyDescent="0.2">
      <c r="A1114" s="85"/>
      <c r="B1114" s="19" t="s">
        <v>276</v>
      </c>
      <c r="C1114" s="61" t="s">
        <v>168</v>
      </c>
      <c r="D1114" s="8" t="s">
        <v>2</v>
      </c>
      <c r="E1114" s="8" t="s">
        <v>41</v>
      </c>
      <c r="F1114" s="8" t="s">
        <v>173</v>
      </c>
      <c r="G1114" s="40" t="s">
        <v>557</v>
      </c>
      <c r="H1114" s="5" t="s">
        <v>557</v>
      </c>
      <c r="I1114" s="5" t="s">
        <v>557</v>
      </c>
      <c r="J1114" s="40" t="s">
        <v>557</v>
      </c>
      <c r="K1114" s="12">
        <f t="shared" si="137"/>
        <v>16214.300000000001</v>
      </c>
      <c r="L1114" s="12">
        <f t="shared" si="137"/>
        <v>15591.799999999997</v>
      </c>
      <c r="M1114" s="12">
        <f t="shared" si="135"/>
        <v>96.160796334100127</v>
      </c>
    </row>
    <row r="1115" spans="1:24" ht="48.6" customHeight="1" x14ac:dyDescent="0.2">
      <c r="A1115" s="85"/>
      <c r="B1115" s="19" t="s">
        <v>277</v>
      </c>
      <c r="C1115" s="61" t="s">
        <v>168</v>
      </c>
      <c r="D1115" s="8" t="s">
        <v>2</v>
      </c>
      <c r="E1115" s="8" t="s">
        <v>41</v>
      </c>
      <c r="F1115" s="8" t="s">
        <v>173</v>
      </c>
      <c r="G1115" s="8" t="s">
        <v>116</v>
      </c>
      <c r="H1115" s="5" t="s">
        <v>557</v>
      </c>
      <c r="I1115" s="5" t="s">
        <v>557</v>
      </c>
      <c r="J1115" s="40" t="s">
        <v>557</v>
      </c>
      <c r="K1115" s="12">
        <f>SUM(K1116+K1125+K1128+K1131+K1135)</f>
        <v>16214.300000000001</v>
      </c>
      <c r="L1115" s="12">
        <f>SUM(L1116+L1125+L1128+L1131+L1135)</f>
        <v>15591.799999999997</v>
      </c>
      <c r="M1115" s="12">
        <f t="shared" si="135"/>
        <v>96.160796334100127</v>
      </c>
    </row>
    <row r="1116" spans="1:24" ht="45.75" customHeight="1" x14ac:dyDescent="0.2">
      <c r="A1116" s="85"/>
      <c r="B1116" s="19" t="s">
        <v>174</v>
      </c>
      <c r="C1116" s="61" t="s">
        <v>168</v>
      </c>
      <c r="D1116" s="8" t="s">
        <v>2</v>
      </c>
      <c r="E1116" s="8" t="s">
        <v>41</v>
      </c>
      <c r="F1116" s="8" t="s">
        <v>173</v>
      </c>
      <c r="G1116" s="8" t="s">
        <v>116</v>
      </c>
      <c r="H1116" s="8" t="s">
        <v>2</v>
      </c>
      <c r="I1116" s="5" t="s">
        <v>557</v>
      </c>
      <c r="J1116" s="40" t="s">
        <v>557</v>
      </c>
      <c r="K1116" s="12">
        <f>SUM(K1117+K1121+K1123)</f>
        <v>8394.5</v>
      </c>
      <c r="L1116" s="12">
        <f>SUM(L1117+L1121+L1123)</f>
        <v>8367.2999999999993</v>
      </c>
      <c r="M1116" s="12">
        <f t="shared" si="135"/>
        <v>99.675978319137528</v>
      </c>
    </row>
    <row r="1117" spans="1:24" ht="31.5" x14ac:dyDescent="0.2">
      <c r="A1117" s="85"/>
      <c r="B1117" s="19" t="s">
        <v>53</v>
      </c>
      <c r="C1117" s="61" t="s">
        <v>168</v>
      </c>
      <c r="D1117" s="8" t="s">
        <v>2</v>
      </c>
      <c r="E1117" s="8" t="s">
        <v>41</v>
      </c>
      <c r="F1117" s="8" t="s">
        <v>173</v>
      </c>
      <c r="G1117" s="8" t="s">
        <v>116</v>
      </c>
      <c r="H1117" s="8" t="s">
        <v>2</v>
      </c>
      <c r="I1117" s="8" t="s">
        <v>99</v>
      </c>
      <c r="J1117" s="40" t="s">
        <v>557</v>
      </c>
      <c r="K1117" s="12">
        <f>SUM(K1118:K1120)</f>
        <v>8309.4</v>
      </c>
      <c r="L1117" s="12">
        <f>SUM(L1118:L1120)</f>
        <v>8282.7999999999993</v>
      </c>
      <c r="M1117" s="12">
        <f t="shared" si="135"/>
        <v>99.679880617132397</v>
      </c>
    </row>
    <row r="1118" spans="1:24" ht="50.25" customHeight="1" x14ac:dyDescent="0.2">
      <c r="A1118" s="85"/>
      <c r="B1118" s="19" t="s">
        <v>54</v>
      </c>
      <c r="C1118" s="61" t="s">
        <v>168</v>
      </c>
      <c r="D1118" s="8" t="s">
        <v>2</v>
      </c>
      <c r="E1118" s="8" t="s">
        <v>41</v>
      </c>
      <c r="F1118" s="8" t="s">
        <v>173</v>
      </c>
      <c r="G1118" s="8" t="s">
        <v>116</v>
      </c>
      <c r="H1118" s="8" t="s">
        <v>2</v>
      </c>
      <c r="I1118" s="8" t="s">
        <v>99</v>
      </c>
      <c r="J1118" s="8" t="s">
        <v>55</v>
      </c>
      <c r="K1118" s="12">
        <f>7692.2+1242.2-732.7</f>
        <v>8201.6999999999989</v>
      </c>
      <c r="L1118" s="12">
        <f>7692.2+1242.2-732.7</f>
        <v>8201.6999999999989</v>
      </c>
      <c r="M1118" s="12">
        <f t="shared" si="135"/>
        <v>100</v>
      </c>
    </row>
    <row r="1119" spans="1:24" ht="36" customHeight="1" x14ac:dyDescent="0.2">
      <c r="A1119" s="85"/>
      <c r="B1119" s="19" t="s">
        <v>164</v>
      </c>
      <c r="C1119" s="61" t="s">
        <v>168</v>
      </c>
      <c r="D1119" s="8" t="s">
        <v>2</v>
      </c>
      <c r="E1119" s="8" t="s">
        <v>41</v>
      </c>
      <c r="F1119" s="8" t="s">
        <v>173</v>
      </c>
      <c r="G1119" s="8" t="s">
        <v>116</v>
      </c>
      <c r="H1119" s="8" t="s">
        <v>2</v>
      </c>
      <c r="I1119" s="8" t="s">
        <v>99</v>
      </c>
      <c r="J1119" s="8" t="s">
        <v>57</v>
      </c>
      <c r="K1119" s="12">
        <f>171.7+0.2-72.2</f>
        <v>99.699999999999974</v>
      </c>
      <c r="L1119" s="12">
        <v>81.099999999999994</v>
      </c>
      <c r="M1119" s="12">
        <f t="shared" si="135"/>
        <v>81.344032096288871</v>
      </c>
    </row>
    <row r="1120" spans="1:24" ht="18.600000000000001" customHeight="1" x14ac:dyDescent="0.2">
      <c r="A1120" s="85"/>
      <c r="B1120" s="19" t="s">
        <v>59</v>
      </c>
      <c r="C1120" s="61" t="s">
        <v>168</v>
      </c>
      <c r="D1120" s="8" t="s">
        <v>2</v>
      </c>
      <c r="E1120" s="8" t="s">
        <v>41</v>
      </c>
      <c r="F1120" s="8" t="s">
        <v>173</v>
      </c>
      <c r="G1120" s="8" t="s">
        <v>116</v>
      </c>
      <c r="H1120" s="8" t="s">
        <v>2</v>
      </c>
      <c r="I1120" s="8" t="s">
        <v>99</v>
      </c>
      <c r="J1120" s="8" t="s">
        <v>60</v>
      </c>
      <c r="K1120" s="12">
        <v>8</v>
      </c>
      <c r="L1120" s="12">
        <v>0</v>
      </c>
      <c r="M1120" s="12">
        <f t="shared" si="135"/>
        <v>0</v>
      </c>
    </row>
    <row r="1121" spans="1:24" s="9" customFormat="1" ht="31.5" x14ac:dyDescent="0.2">
      <c r="A1121" s="85"/>
      <c r="B1121" s="19" t="s">
        <v>374</v>
      </c>
      <c r="C1121" s="62">
        <v>947</v>
      </c>
      <c r="D1121" s="8" t="s">
        <v>2</v>
      </c>
      <c r="E1121" s="8" t="s">
        <v>41</v>
      </c>
      <c r="F1121" s="8" t="s">
        <v>173</v>
      </c>
      <c r="G1121" s="63">
        <v>1</v>
      </c>
      <c r="H1121" s="8" t="s">
        <v>2</v>
      </c>
      <c r="I1121" s="8" t="s">
        <v>373</v>
      </c>
      <c r="J1121" s="40" t="s">
        <v>557</v>
      </c>
      <c r="K1121" s="12">
        <f>SUM(K1122)</f>
        <v>27.1</v>
      </c>
      <c r="L1121" s="12">
        <f>SUM(L1122)</f>
        <v>26.7</v>
      </c>
      <c r="M1121" s="12">
        <f t="shared" si="135"/>
        <v>98.523985239852379</v>
      </c>
      <c r="O1121" s="7"/>
      <c r="P1121" s="7"/>
      <c r="Q1121" s="7"/>
      <c r="R1121" s="7"/>
      <c r="S1121" s="7"/>
      <c r="T1121" s="7"/>
      <c r="U1121" s="7"/>
      <c r="V1121" s="7"/>
      <c r="W1121" s="7"/>
      <c r="X1121" s="7"/>
    </row>
    <row r="1122" spans="1:24" s="9" customFormat="1" ht="17.25" customHeight="1" x14ac:dyDescent="0.2">
      <c r="A1122" s="85"/>
      <c r="B1122" s="19" t="s">
        <v>164</v>
      </c>
      <c r="C1122" s="62">
        <v>947</v>
      </c>
      <c r="D1122" s="8" t="s">
        <v>2</v>
      </c>
      <c r="E1122" s="8" t="s">
        <v>41</v>
      </c>
      <c r="F1122" s="8" t="s">
        <v>173</v>
      </c>
      <c r="G1122" s="63">
        <v>1</v>
      </c>
      <c r="H1122" s="8" t="s">
        <v>2</v>
      </c>
      <c r="I1122" s="8" t="s">
        <v>373</v>
      </c>
      <c r="J1122" s="8" t="s">
        <v>57</v>
      </c>
      <c r="K1122" s="12">
        <v>27.1</v>
      </c>
      <c r="L1122" s="12">
        <v>26.7</v>
      </c>
      <c r="M1122" s="12">
        <f t="shared" si="135"/>
        <v>98.523985239852379</v>
      </c>
      <c r="O1122" s="7"/>
      <c r="P1122" s="7"/>
      <c r="Q1122" s="7"/>
      <c r="R1122" s="7"/>
      <c r="S1122" s="7"/>
      <c r="T1122" s="7"/>
      <c r="U1122" s="7"/>
      <c r="V1122" s="7"/>
      <c r="W1122" s="7"/>
      <c r="X1122" s="7"/>
    </row>
    <row r="1123" spans="1:24" s="9" customFormat="1" ht="33.6" customHeight="1" x14ac:dyDescent="0.2">
      <c r="A1123" s="85"/>
      <c r="B1123" s="19" t="s">
        <v>378</v>
      </c>
      <c r="C1123" s="62">
        <v>947</v>
      </c>
      <c r="D1123" s="8" t="s">
        <v>2</v>
      </c>
      <c r="E1123" s="8" t="s">
        <v>41</v>
      </c>
      <c r="F1123" s="8" t="s">
        <v>173</v>
      </c>
      <c r="G1123" s="63">
        <v>1</v>
      </c>
      <c r="H1123" s="8" t="s">
        <v>2</v>
      </c>
      <c r="I1123" s="8" t="s">
        <v>379</v>
      </c>
      <c r="J1123" s="40" t="s">
        <v>557</v>
      </c>
      <c r="K1123" s="12">
        <f>SUM(K1124)</f>
        <v>58</v>
      </c>
      <c r="L1123" s="12">
        <f>SUM(L1124)</f>
        <v>57.8</v>
      </c>
      <c r="M1123" s="12">
        <f t="shared" si="135"/>
        <v>99.655172413793096</v>
      </c>
      <c r="O1123" s="7"/>
      <c r="P1123" s="7"/>
      <c r="Q1123" s="7"/>
      <c r="R1123" s="7"/>
      <c r="S1123" s="7"/>
      <c r="T1123" s="7"/>
      <c r="U1123" s="7"/>
      <c r="V1123" s="7"/>
      <c r="W1123" s="7"/>
      <c r="X1123" s="7"/>
    </row>
    <row r="1124" spans="1:24" s="9" customFormat="1" ht="33.6" customHeight="1" x14ac:dyDescent="0.2">
      <c r="A1124" s="85"/>
      <c r="B1124" s="19" t="s">
        <v>164</v>
      </c>
      <c r="C1124" s="62">
        <v>947</v>
      </c>
      <c r="D1124" s="8" t="s">
        <v>2</v>
      </c>
      <c r="E1124" s="8" t="s">
        <v>41</v>
      </c>
      <c r="F1124" s="8" t="s">
        <v>173</v>
      </c>
      <c r="G1124" s="63">
        <v>1</v>
      </c>
      <c r="H1124" s="8" t="s">
        <v>2</v>
      </c>
      <c r="I1124" s="8" t="s">
        <v>379</v>
      </c>
      <c r="J1124" s="8" t="s">
        <v>57</v>
      </c>
      <c r="K1124" s="12">
        <v>58</v>
      </c>
      <c r="L1124" s="12">
        <v>57.8</v>
      </c>
      <c r="M1124" s="12">
        <f t="shared" si="135"/>
        <v>99.655172413793096</v>
      </c>
      <c r="O1124" s="7"/>
      <c r="P1124" s="7"/>
      <c r="Q1124" s="7"/>
      <c r="R1124" s="7"/>
      <c r="S1124" s="7"/>
      <c r="T1124" s="7"/>
      <c r="U1124" s="7"/>
      <c r="V1124" s="7"/>
      <c r="W1124" s="7"/>
      <c r="X1124" s="7"/>
    </row>
    <row r="1125" spans="1:24" s="9" customFormat="1" ht="63" x14ac:dyDescent="0.2">
      <c r="A1125" s="85"/>
      <c r="B1125" s="19" t="s">
        <v>278</v>
      </c>
      <c r="C1125" s="61" t="s">
        <v>168</v>
      </c>
      <c r="D1125" s="8" t="s">
        <v>2</v>
      </c>
      <c r="E1125" s="8" t="s">
        <v>41</v>
      </c>
      <c r="F1125" s="8" t="s">
        <v>173</v>
      </c>
      <c r="G1125" s="8" t="s">
        <v>116</v>
      </c>
      <c r="H1125" s="8" t="s">
        <v>4</v>
      </c>
      <c r="I1125" s="5" t="s">
        <v>557</v>
      </c>
      <c r="J1125" s="40" t="s">
        <v>557</v>
      </c>
      <c r="K1125" s="12">
        <f t="shared" ref="K1125:L1126" si="138">K1126</f>
        <v>5031.5</v>
      </c>
      <c r="L1125" s="12">
        <f t="shared" si="138"/>
        <v>5031.5</v>
      </c>
      <c r="M1125" s="12">
        <f t="shared" si="135"/>
        <v>100</v>
      </c>
      <c r="O1125" s="7"/>
      <c r="P1125" s="7"/>
      <c r="Q1125" s="7"/>
      <c r="R1125" s="7"/>
      <c r="S1125" s="7"/>
      <c r="T1125" s="7"/>
      <c r="U1125" s="7"/>
      <c r="V1125" s="7"/>
      <c r="W1125" s="7"/>
      <c r="X1125" s="7"/>
    </row>
    <row r="1126" spans="1:24" s="9" customFormat="1" ht="65.25" customHeight="1" x14ac:dyDescent="0.2">
      <c r="A1126" s="85"/>
      <c r="B1126" s="19" t="s">
        <v>84</v>
      </c>
      <c r="C1126" s="61" t="s">
        <v>168</v>
      </c>
      <c r="D1126" s="8" t="s">
        <v>2</v>
      </c>
      <c r="E1126" s="8" t="s">
        <v>41</v>
      </c>
      <c r="F1126" s="8" t="s">
        <v>173</v>
      </c>
      <c r="G1126" s="8" t="s">
        <v>116</v>
      </c>
      <c r="H1126" s="8" t="s">
        <v>4</v>
      </c>
      <c r="I1126" s="8" t="s">
        <v>111</v>
      </c>
      <c r="J1126" s="40" t="s">
        <v>557</v>
      </c>
      <c r="K1126" s="12">
        <f t="shared" si="138"/>
        <v>5031.5</v>
      </c>
      <c r="L1126" s="12">
        <f t="shared" si="138"/>
        <v>5031.5</v>
      </c>
      <c r="M1126" s="12">
        <f t="shared" si="135"/>
        <v>100</v>
      </c>
      <c r="O1126" s="7"/>
      <c r="P1126" s="7"/>
      <c r="Q1126" s="7"/>
      <c r="R1126" s="7"/>
      <c r="S1126" s="7"/>
      <c r="T1126" s="7"/>
      <c r="U1126" s="7"/>
      <c r="V1126" s="7"/>
      <c r="W1126" s="7"/>
      <c r="X1126" s="7"/>
    </row>
    <row r="1127" spans="1:24" s="9" customFormat="1" ht="34.9" customHeight="1" x14ac:dyDescent="0.2">
      <c r="A1127" s="85"/>
      <c r="B1127" s="19" t="s">
        <v>72</v>
      </c>
      <c r="C1127" s="61" t="s">
        <v>168</v>
      </c>
      <c r="D1127" s="8" t="s">
        <v>2</v>
      </c>
      <c r="E1127" s="8" t="s">
        <v>41</v>
      </c>
      <c r="F1127" s="8" t="s">
        <v>173</v>
      </c>
      <c r="G1127" s="8" t="s">
        <v>116</v>
      </c>
      <c r="H1127" s="8" t="s">
        <v>4</v>
      </c>
      <c r="I1127" s="8" t="s">
        <v>111</v>
      </c>
      <c r="J1127" s="8" t="s">
        <v>73</v>
      </c>
      <c r="K1127" s="12">
        <f>4449.5+582</f>
        <v>5031.5</v>
      </c>
      <c r="L1127" s="12">
        <f>4449.5+582</f>
        <v>5031.5</v>
      </c>
      <c r="M1127" s="12">
        <f t="shared" si="135"/>
        <v>100</v>
      </c>
      <c r="O1127" s="7"/>
      <c r="P1127" s="7"/>
      <c r="Q1127" s="7"/>
      <c r="R1127" s="7"/>
      <c r="S1127" s="7"/>
      <c r="T1127" s="7"/>
      <c r="U1127" s="7"/>
      <c r="V1127" s="7"/>
      <c r="W1127" s="7"/>
      <c r="X1127" s="7"/>
    </row>
    <row r="1128" spans="1:24" s="9" customFormat="1" ht="51" customHeight="1" x14ac:dyDescent="0.2">
      <c r="A1128" s="85"/>
      <c r="B1128" s="19" t="s">
        <v>210</v>
      </c>
      <c r="C1128" s="61" t="s">
        <v>168</v>
      </c>
      <c r="D1128" s="8" t="s">
        <v>2</v>
      </c>
      <c r="E1128" s="8" t="s">
        <v>41</v>
      </c>
      <c r="F1128" s="8" t="s">
        <v>173</v>
      </c>
      <c r="G1128" s="8" t="s">
        <v>116</v>
      </c>
      <c r="H1128" s="8" t="s">
        <v>5</v>
      </c>
      <c r="I1128" s="5" t="s">
        <v>557</v>
      </c>
      <c r="J1128" s="40" t="s">
        <v>557</v>
      </c>
      <c r="K1128" s="12">
        <f t="shared" ref="K1128:L1129" si="139">SUM(K1129)</f>
        <v>250</v>
      </c>
      <c r="L1128" s="12">
        <f t="shared" si="139"/>
        <v>55.3</v>
      </c>
      <c r="M1128" s="12">
        <f t="shared" si="135"/>
        <v>22.119999999999997</v>
      </c>
      <c r="O1128" s="7"/>
      <c r="P1128" s="7"/>
      <c r="Q1128" s="7"/>
      <c r="R1128" s="7"/>
      <c r="S1128" s="7"/>
      <c r="T1128" s="7"/>
      <c r="U1128" s="7"/>
      <c r="V1128" s="7"/>
      <c r="W1128" s="7"/>
      <c r="X1128" s="7"/>
    </row>
    <row r="1129" spans="1:24" s="9" customFormat="1" ht="63" x14ac:dyDescent="0.2">
      <c r="A1129" s="85"/>
      <c r="B1129" s="19" t="s">
        <v>279</v>
      </c>
      <c r="C1129" s="61" t="s">
        <v>168</v>
      </c>
      <c r="D1129" s="8" t="s">
        <v>2</v>
      </c>
      <c r="E1129" s="8" t="s">
        <v>41</v>
      </c>
      <c r="F1129" s="8" t="s">
        <v>173</v>
      </c>
      <c r="G1129" s="8" t="s">
        <v>116</v>
      </c>
      <c r="H1129" s="8" t="s">
        <v>5</v>
      </c>
      <c r="I1129" s="8" t="s">
        <v>211</v>
      </c>
      <c r="J1129" s="40" t="s">
        <v>557</v>
      </c>
      <c r="K1129" s="12">
        <f t="shared" si="139"/>
        <v>250</v>
      </c>
      <c r="L1129" s="12">
        <f t="shared" si="139"/>
        <v>55.3</v>
      </c>
      <c r="M1129" s="12">
        <f t="shared" si="135"/>
        <v>22.119999999999997</v>
      </c>
      <c r="O1129" s="7"/>
      <c r="P1129" s="7"/>
      <c r="Q1129" s="7"/>
      <c r="R1129" s="7"/>
      <c r="S1129" s="7"/>
      <c r="T1129" s="7"/>
      <c r="U1129" s="7"/>
      <c r="V1129" s="7"/>
      <c r="W1129" s="7"/>
      <c r="X1129" s="7"/>
    </row>
    <row r="1130" spans="1:24" s="9" customFormat="1" ht="33.6" customHeight="1" x14ac:dyDescent="0.2">
      <c r="A1130" s="85"/>
      <c r="B1130" s="19" t="s">
        <v>164</v>
      </c>
      <c r="C1130" s="61" t="s">
        <v>168</v>
      </c>
      <c r="D1130" s="8" t="s">
        <v>2</v>
      </c>
      <c r="E1130" s="8" t="s">
        <v>41</v>
      </c>
      <c r="F1130" s="8" t="s">
        <v>173</v>
      </c>
      <c r="G1130" s="8" t="s">
        <v>116</v>
      </c>
      <c r="H1130" s="8" t="s">
        <v>5</v>
      </c>
      <c r="I1130" s="8" t="s">
        <v>211</v>
      </c>
      <c r="J1130" s="8" t="s">
        <v>57</v>
      </c>
      <c r="K1130" s="12">
        <v>250</v>
      </c>
      <c r="L1130" s="12">
        <v>55.3</v>
      </c>
      <c r="M1130" s="12">
        <f t="shared" si="135"/>
        <v>22.119999999999997</v>
      </c>
      <c r="O1130" s="7"/>
      <c r="P1130" s="7"/>
      <c r="Q1130" s="7"/>
      <c r="R1130" s="7"/>
      <c r="S1130" s="7"/>
      <c r="T1130" s="7"/>
      <c r="U1130" s="7"/>
      <c r="V1130" s="7"/>
      <c r="W1130" s="7"/>
      <c r="X1130" s="7"/>
    </row>
    <row r="1131" spans="1:24" s="9" customFormat="1" ht="35.25" customHeight="1" x14ac:dyDescent="0.2">
      <c r="A1131" s="85"/>
      <c r="B1131" s="19" t="s">
        <v>285</v>
      </c>
      <c r="C1131" s="61" t="s">
        <v>168</v>
      </c>
      <c r="D1131" s="8" t="s">
        <v>2</v>
      </c>
      <c r="E1131" s="8" t="s">
        <v>41</v>
      </c>
      <c r="F1131" s="8" t="s">
        <v>173</v>
      </c>
      <c r="G1131" s="8" t="s">
        <v>116</v>
      </c>
      <c r="H1131" s="8" t="s">
        <v>6</v>
      </c>
      <c r="I1131" s="5" t="s">
        <v>557</v>
      </c>
      <c r="J1131" s="40" t="s">
        <v>557</v>
      </c>
      <c r="K1131" s="12">
        <f>SUM(K1132)</f>
        <v>2137.2000000000003</v>
      </c>
      <c r="L1131" s="12">
        <f>SUM(L1132)</f>
        <v>1792.9</v>
      </c>
      <c r="M1131" s="12">
        <f t="shared" si="135"/>
        <v>83.890136627362892</v>
      </c>
      <c r="O1131" s="7"/>
      <c r="P1131" s="7"/>
      <c r="Q1131" s="7"/>
      <c r="R1131" s="7"/>
      <c r="S1131" s="7"/>
      <c r="T1131" s="7"/>
      <c r="U1131" s="7"/>
      <c r="V1131" s="7"/>
      <c r="W1131" s="7"/>
      <c r="X1131" s="7"/>
    </row>
    <row r="1132" spans="1:24" s="9" customFormat="1" ht="47.25" customHeight="1" x14ac:dyDescent="0.2">
      <c r="A1132" s="85"/>
      <c r="B1132" s="19" t="s">
        <v>286</v>
      </c>
      <c r="C1132" s="61" t="s">
        <v>168</v>
      </c>
      <c r="D1132" s="8" t="s">
        <v>2</v>
      </c>
      <c r="E1132" s="8" t="s">
        <v>41</v>
      </c>
      <c r="F1132" s="8" t="s">
        <v>173</v>
      </c>
      <c r="G1132" s="8" t="s">
        <v>116</v>
      </c>
      <c r="H1132" s="8" t="s">
        <v>6</v>
      </c>
      <c r="I1132" s="8" t="s">
        <v>284</v>
      </c>
      <c r="J1132" s="40" t="s">
        <v>557</v>
      </c>
      <c r="K1132" s="12">
        <f>SUM(K1133+K1134)</f>
        <v>2137.2000000000003</v>
      </c>
      <c r="L1132" s="12">
        <f>SUM(L1133+L1134)</f>
        <v>1792.9</v>
      </c>
      <c r="M1132" s="12">
        <f t="shared" si="135"/>
        <v>83.890136627362892</v>
      </c>
      <c r="O1132" s="7"/>
      <c r="P1132" s="7"/>
      <c r="Q1132" s="7"/>
      <c r="R1132" s="7"/>
      <c r="S1132" s="7"/>
      <c r="T1132" s="7"/>
      <c r="U1132" s="7"/>
      <c r="V1132" s="7"/>
      <c r="W1132" s="7"/>
      <c r="X1132" s="7"/>
    </row>
    <row r="1133" spans="1:24" s="9" customFormat="1" ht="30.75" customHeight="1" x14ac:dyDescent="0.2">
      <c r="A1133" s="85"/>
      <c r="B1133" s="19" t="s">
        <v>164</v>
      </c>
      <c r="C1133" s="61" t="s">
        <v>168</v>
      </c>
      <c r="D1133" s="8" t="s">
        <v>2</v>
      </c>
      <c r="E1133" s="8" t="s">
        <v>41</v>
      </c>
      <c r="F1133" s="8" t="s">
        <v>173</v>
      </c>
      <c r="G1133" s="8" t="s">
        <v>116</v>
      </c>
      <c r="H1133" s="8" t="s">
        <v>6</v>
      </c>
      <c r="I1133" s="8" t="s">
        <v>284</v>
      </c>
      <c r="J1133" s="8" t="s">
        <v>57</v>
      </c>
      <c r="K1133" s="12">
        <v>1746.4</v>
      </c>
      <c r="L1133" s="12">
        <v>1419.9</v>
      </c>
      <c r="M1133" s="12">
        <f t="shared" si="135"/>
        <v>81.304397617956937</v>
      </c>
      <c r="O1133" s="7"/>
      <c r="P1133" s="7"/>
      <c r="Q1133" s="7"/>
      <c r="R1133" s="7"/>
      <c r="S1133" s="7"/>
      <c r="T1133" s="7"/>
      <c r="U1133" s="7"/>
      <c r="V1133" s="7"/>
      <c r="W1133" s="7"/>
      <c r="X1133" s="7"/>
    </row>
    <row r="1134" spans="1:24" s="9" customFormat="1" ht="21" customHeight="1" x14ac:dyDescent="0.2">
      <c r="A1134" s="85"/>
      <c r="B1134" s="19" t="s">
        <v>59</v>
      </c>
      <c r="C1134" s="61" t="s">
        <v>168</v>
      </c>
      <c r="D1134" s="8" t="s">
        <v>2</v>
      </c>
      <c r="E1134" s="8" t="s">
        <v>41</v>
      </c>
      <c r="F1134" s="8" t="s">
        <v>173</v>
      </c>
      <c r="G1134" s="8" t="s">
        <v>116</v>
      </c>
      <c r="H1134" s="8" t="s">
        <v>6</v>
      </c>
      <c r="I1134" s="8" t="s">
        <v>284</v>
      </c>
      <c r="J1134" s="8" t="s">
        <v>60</v>
      </c>
      <c r="K1134" s="12">
        <v>390.8</v>
      </c>
      <c r="L1134" s="12">
        <v>373</v>
      </c>
      <c r="M1134" s="12">
        <f t="shared" si="135"/>
        <v>95.445240532241542</v>
      </c>
      <c r="O1134" s="7"/>
      <c r="P1134" s="7"/>
      <c r="Q1134" s="7"/>
      <c r="R1134" s="7"/>
      <c r="S1134" s="7"/>
      <c r="T1134" s="7"/>
      <c r="U1134" s="7"/>
      <c r="V1134" s="7"/>
      <c r="W1134" s="7"/>
      <c r="X1134" s="7"/>
    </row>
    <row r="1135" spans="1:24" s="9" customFormat="1" ht="32.450000000000003" customHeight="1" x14ac:dyDescent="0.2">
      <c r="A1135" s="85"/>
      <c r="B1135" s="19" t="s">
        <v>471</v>
      </c>
      <c r="C1135" s="61" t="s">
        <v>168</v>
      </c>
      <c r="D1135" s="8" t="s">
        <v>2</v>
      </c>
      <c r="E1135" s="8" t="s">
        <v>41</v>
      </c>
      <c r="F1135" s="8" t="s">
        <v>173</v>
      </c>
      <c r="G1135" s="8" t="s">
        <v>116</v>
      </c>
      <c r="H1135" s="8" t="s">
        <v>7</v>
      </c>
      <c r="I1135" s="5" t="s">
        <v>557</v>
      </c>
      <c r="J1135" s="40" t="s">
        <v>557</v>
      </c>
      <c r="K1135" s="12">
        <f>SUM(K1136)</f>
        <v>401.09999999999997</v>
      </c>
      <c r="L1135" s="12">
        <f>SUM(L1136)</f>
        <v>344.8</v>
      </c>
      <c r="M1135" s="12">
        <f t="shared" si="135"/>
        <v>85.963600099725767</v>
      </c>
      <c r="O1135" s="7"/>
      <c r="P1135" s="7"/>
      <c r="Q1135" s="7"/>
      <c r="R1135" s="7"/>
      <c r="S1135" s="7"/>
      <c r="T1135" s="7"/>
      <c r="U1135" s="7"/>
      <c r="V1135" s="7"/>
      <c r="W1135" s="7"/>
      <c r="X1135" s="7"/>
    </row>
    <row r="1136" spans="1:24" s="9" customFormat="1" ht="30" customHeight="1" x14ac:dyDescent="0.2">
      <c r="A1136" s="85"/>
      <c r="B1136" s="44" t="s">
        <v>377</v>
      </c>
      <c r="C1136" s="61" t="s">
        <v>168</v>
      </c>
      <c r="D1136" s="8" t="s">
        <v>2</v>
      </c>
      <c r="E1136" s="8" t="s">
        <v>41</v>
      </c>
      <c r="F1136" s="8" t="s">
        <v>173</v>
      </c>
      <c r="G1136" s="8" t="s">
        <v>116</v>
      </c>
      <c r="H1136" s="8" t="s">
        <v>7</v>
      </c>
      <c r="I1136" s="8" t="s">
        <v>376</v>
      </c>
      <c r="J1136" s="40" t="s">
        <v>557</v>
      </c>
      <c r="K1136" s="12">
        <f>SUM(K1137)</f>
        <v>401.09999999999997</v>
      </c>
      <c r="L1136" s="12">
        <f>SUM(L1137)</f>
        <v>344.8</v>
      </c>
      <c r="M1136" s="12">
        <f t="shared" si="135"/>
        <v>85.963600099725767</v>
      </c>
      <c r="O1136" s="7"/>
      <c r="P1136" s="7"/>
      <c r="Q1136" s="7"/>
      <c r="R1136" s="7"/>
      <c r="S1136" s="7"/>
      <c r="T1136" s="7"/>
      <c r="U1136" s="7"/>
      <c r="V1136" s="7"/>
      <c r="W1136" s="7"/>
      <c r="X1136" s="7"/>
    </row>
    <row r="1137" spans="1:24" s="9" customFormat="1" ht="31.5" x14ac:dyDescent="0.2">
      <c r="A1137" s="85"/>
      <c r="B1137" s="19" t="s">
        <v>164</v>
      </c>
      <c r="C1137" s="61" t="s">
        <v>168</v>
      </c>
      <c r="D1137" s="8" t="s">
        <v>2</v>
      </c>
      <c r="E1137" s="8" t="s">
        <v>41</v>
      </c>
      <c r="F1137" s="8" t="s">
        <v>173</v>
      </c>
      <c r="G1137" s="8" t="s">
        <v>116</v>
      </c>
      <c r="H1137" s="8" t="s">
        <v>7</v>
      </c>
      <c r="I1137" s="8" t="s">
        <v>376</v>
      </c>
      <c r="J1137" s="8" t="s">
        <v>57</v>
      </c>
      <c r="K1137" s="12">
        <f>401.2-0.1</f>
        <v>401.09999999999997</v>
      </c>
      <c r="L1137" s="12">
        <v>344.8</v>
      </c>
      <c r="M1137" s="12">
        <f t="shared" si="135"/>
        <v>85.963600099725767</v>
      </c>
      <c r="O1137" s="7"/>
      <c r="P1137" s="7"/>
      <c r="Q1137" s="7"/>
      <c r="R1137" s="7"/>
      <c r="S1137" s="7"/>
      <c r="T1137" s="7"/>
      <c r="U1137" s="7"/>
      <c r="V1137" s="7"/>
      <c r="W1137" s="7"/>
      <c r="X1137" s="7"/>
    </row>
    <row r="1138" spans="1:24" s="9" customFormat="1" ht="31.5" x14ac:dyDescent="0.2">
      <c r="A1138" s="85"/>
      <c r="B1138" s="19" t="s">
        <v>14</v>
      </c>
      <c r="C1138" s="61" t="s">
        <v>168</v>
      </c>
      <c r="D1138" s="8" t="s">
        <v>5</v>
      </c>
      <c r="E1138" s="40" t="s">
        <v>557</v>
      </c>
      <c r="F1138" s="5" t="s">
        <v>557</v>
      </c>
      <c r="G1138" s="40" t="s">
        <v>557</v>
      </c>
      <c r="H1138" s="5" t="s">
        <v>557</v>
      </c>
      <c r="I1138" s="5" t="s">
        <v>557</v>
      </c>
      <c r="J1138" s="40" t="s">
        <v>557</v>
      </c>
      <c r="K1138" s="12">
        <f t="shared" ref="K1138:L1142" si="140">K1139</f>
        <v>1680</v>
      </c>
      <c r="L1138" s="12">
        <f t="shared" si="140"/>
        <v>1680</v>
      </c>
      <c r="M1138" s="12">
        <f t="shared" si="135"/>
        <v>100</v>
      </c>
      <c r="O1138" s="7"/>
      <c r="P1138" s="7"/>
      <c r="Q1138" s="7"/>
      <c r="R1138" s="7"/>
      <c r="S1138" s="7"/>
      <c r="T1138" s="7"/>
      <c r="U1138" s="7"/>
      <c r="V1138" s="7"/>
      <c r="W1138" s="7"/>
      <c r="X1138" s="7"/>
    </row>
    <row r="1139" spans="1:24" s="9" customFormat="1" ht="47.25" x14ac:dyDescent="0.2">
      <c r="A1139" s="85"/>
      <c r="B1139" s="19" t="s">
        <v>356</v>
      </c>
      <c r="C1139" s="61" t="s">
        <v>168</v>
      </c>
      <c r="D1139" s="8" t="s">
        <v>5</v>
      </c>
      <c r="E1139" s="8" t="s">
        <v>21</v>
      </c>
      <c r="F1139" s="5" t="s">
        <v>557</v>
      </c>
      <c r="G1139" s="40" t="s">
        <v>557</v>
      </c>
      <c r="H1139" s="5" t="s">
        <v>557</v>
      </c>
      <c r="I1139" s="5" t="s">
        <v>557</v>
      </c>
      <c r="J1139" s="40" t="s">
        <v>557</v>
      </c>
      <c r="K1139" s="12">
        <f t="shared" si="140"/>
        <v>1680</v>
      </c>
      <c r="L1139" s="12">
        <f t="shared" si="140"/>
        <v>1680</v>
      </c>
      <c r="M1139" s="12">
        <f t="shared" si="135"/>
        <v>100</v>
      </c>
      <c r="O1139" s="7"/>
      <c r="P1139" s="7"/>
      <c r="Q1139" s="7"/>
      <c r="R1139" s="7"/>
      <c r="S1139" s="7"/>
      <c r="T1139" s="7"/>
      <c r="U1139" s="7"/>
      <c r="V1139" s="7"/>
      <c r="W1139" s="7"/>
      <c r="X1139" s="7"/>
    </row>
    <row r="1140" spans="1:24" s="9" customFormat="1" ht="47.25" x14ac:dyDescent="0.2">
      <c r="A1140" s="85"/>
      <c r="B1140" s="19" t="s">
        <v>80</v>
      </c>
      <c r="C1140" s="61" t="s">
        <v>168</v>
      </c>
      <c r="D1140" s="8" t="s">
        <v>5</v>
      </c>
      <c r="E1140" s="8" t="s">
        <v>21</v>
      </c>
      <c r="F1140" s="8" t="s">
        <v>131</v>
      </c>
      <c r="G1140" s="40" t="s">
        <v>557</v>
      </c>
      <c r="H1140" s="5" t="s">
        <v>557</v>
      </c>
      <c r="I1140" s="5" t="s">
        <v>557</v>
      </c>
      <c r="J1140" s="40" t="s">
        <v>557</v>
      </c>
      <c r="K1140" s="12">
        <f t="shared" si="140"/>
        <v>1680</v>
      </c>
      <c r="L1140" s="12">
        <f t="shared" si="140"/>
        <v>1680</v>
      </c>
      <c r="M1140" s="12">
        <f t="shared" si="135"/>
        <v>100</v>
      </c>
      <c r="O1140" s="7"/>
      <c r="P1140" s="7"/>
      <c r="Q1140" s="7"/>
      <c r="R1140" s="7"/>
      <c r="S1140" s="7"/>
      <c r="T1140" s="7"/>
      <c r="U1140" s="7"/>
      <c r="V1140" s="7"/>
      <c r="W1140" s="7"/>
      <c r="X1140" s="7"/>
    </row>
    <row r="1141" spans="1:24" s="9" customFormat="1" ht="18.75" customHeight="1" x14ac:dyDescent="0.2">
      <c r="A1141" s="85"/>
      <c r="B1141" s="19" t="s">
        <v>63</v>
      </c>
      <c r="C1141" s="61" t="s">
        <v>168</v>
      </c>
      <c r="D1141" s="8" t="s">
        <v>5</v>
      </c>
      <c r="E1141" s="8" t="s">
        <v>21</v>
      </c>
      <c r="F1141" s="8" t="s">
        <v>131</v>
      </c>
      <c r="G1141" s="63">
        <v>2</v>
      </c>
      <c r="H1141" s="5" t="s">
        <v>557</v>
      </c>
      <c r="I1141" s="5" t="s">
        <v>557</v>
      </c>
      <c r="J1141" s="40" t="s">
        <v>557</v>
      </c>
      <c r="K1141" s="12">
        <f t="shared" si="140"/>
        <v>1680</v>
      </c>
      <c r="L1141" s="12">
        <f t="shared" si="140"/>
        <v>1680</v>
      </c>
      <c r="M1141" s="12">
        <f t="shared" si="135"/>
        <v>100</v>
      </c>
      <c r="O1141" s="7"/>
      <c r="P1141" s="7"/>
      <c r="Q1141" s="7"/>
      <c r="R1141" s="7"/>
      <c r="S1141" s="7"/>
      <c r="T1141" s="7"/>
      <c r="U1141" s="7"/>
      <c r="V1141" s="7"/>
      <c r="W1141" s="7"/>
      <c r="X1141" s="7"/>
    </row>
    <row r="1142" spans="1:24" s="9" customFormat="1" ht="34.15" customHeight="1" x14ac:dyDescent="0.2">
      <c r="A1142" s="85"/>
      <c r="B1142" s="19" t="s">
        <v>79</v>
      </c>
      <c r="C1142" s="61" t="s">
        <v>168</v>
      </c>
      <c r="D1142" s="8" t="s">
        <v>5</v>
      </c>
      <c r="E1142" s="8" t="s">
        <v>21</v>
      </c>
      <c r="F1142" s="8" t="s">
        <v>131</v>
      </c>
      <c r="G1142" s="63">
        <v>2</v>
      </c>
      <c r="H1142" s="8" t="s">
        <v>97</v>
      </c>
      <c r="I1142" s="8" t="s">
        <v>133</v>
      </c>
      <c r="J1142" s="40" t="s">
        <v>557</v>
      </c>
      <c r="K1142" s="12">
        <f t="shared" si="140"/>
        <v>1680</v>
      </c>
      <c r="L1142" s="12">
        <f t="shared" si="140"/>
        <v>1680</v>
      </c>
      <c r="M1142" s="12">
        <f t="shared" si="135"/>
        <v>100</v>
      </c>
      <c r="O1142" s="7"/>
      <c r="P1142" s="7"/>
      <c r="Q1142" s="7"/>
      <c r="R1142" s="7"/>
      <c r="S1142" s="7"/>
      <c r="T1142" s="7"/>
      <c r="U1142" s="7"/>
      <c r="V1142" s="7"/>
      <c r="W1142" s="7"/>
      <c r="X1142" s="7"/>
    </row>
    <row r="1143" spans="1:24" s="9" customFormat="1" ht="29.25" customHeight="1" x14ac:dyDescent="0.2">
      <c r="A1143" s="85"/>
      <c r="B1143" s="19" t="s">
        <v>164</v>
      </c>
      <c r="C1143" s="61" t="s">
        <v>168</v>
      </c>
      <c r="D1143" s="8" t="s">
        <v>5</v>
      </c>
      <c r="E1143" s="8" t="s">
        <v>21</v>
      </c>
      <c r="F1143" s="8" t="s">
        <v>131</v>
      </c>
      <c r="G1143" s="63">
        <v>2</v>
      </c>
      <c r="H1143" s="8" t="s">
        <v>97</v>
      </c>
      <c r="I1143" s="8" t="s">
        <v>133</v>
      </c>
      <c r="J1143" s="8" t="s">
        <v>57</v>
      </c>
      <c r="K1143" s="12">
        <f>2880-1200</f>
        <v>1680</v>
      </c>
      <c r="L1143" s="12">
        <f>2880-1200</f>
        <v>1680</v>
      </c>
      <c r="M1143" s="12">
        <f t="shared" si="135"/>
        <v>100</v>
      </c>
      <c r="O1143" s="7"/>
      <c r="P1143" s="7"/>
      <c r="Q1143" s="7"/>
      <c r="R1143" s="7"/>
      <c r="S1143" s="7"/>
      <c r="T1143" s="7"/>
      <c r="U1143" s="7"/>
      <c r="V1143" s="7"/>
      <c r="W1143" s="7"/>
      <c r="X1143" s="7"/>
    </row>
    <row r="1144" spans="1:24" s="9" customFormat="1" x14ac:dyDescent="0.2">
      <c r="A1144" s="85"/>
      <c r="B1144" s="55" t="s">
        <v>18</v>
      </c>
      <c r="C1144" s="61" t="s">
        <v>168</v>
      </c>
      <c r="D1144" s="8" t="s">
        <v>8</v>
      </c>
      <c r="E1144" s="40" t="s">
        <v>557</v>
      </c>
      <c r="F1144" s="5" t="s">
        <v>557</v>
      </c>
      <c r="G1144" s="40" t="s">
        <v>557</v>
      </c>
      <c r="H1144" s="5" t="s">
        <v>557</v>
      </c>
      <c r="I1144" s="5" t="s">
        <v>557</v>
      </c>
      <c r="J1144" s="40" t="s">
        <v>557</v>
      </c>
      <c r="K1144" s="12">
        <f t="shared" ref="K1144:L1148" si="141">SUM(K1145)</f>
        <v>25.1</v>
      </c>
      <c r="L1144" s="12">
        <f t="shared" si="141"/>
        <v>25.1</v>
      </c>
      <c r="M1144" s="12">
        <f t="shared" si="135"/>
        <v>100</v>
      </c>
      <c r="O1144" s="7"/>
      <c r="P1144" s="7"/>
      <c r="Q1144" s="7"/>
      <c r="R1144" s="7"/>
      <c r="S1144" s="7"/>
      <c r="T1144" s="7"/>
      <c r="U1144" s="7"/>
      <c r="V1144" s="7"/>
      <c r="W1144" s="7"/>
      <c r="X1144" s="7"/>
    </row>
    <row r="1145" spans="1:24" s="9" customFormat="1" ht="31.5" customHeight="1" x14ac:dyDescent="0.2">
      <c r="A1145" s="85"/>
      <c r="B1145" s="19" t="s">
        <v>375</v>
      </c>
      <c r="C1145" s="62">
        <v>947</v>
      </c>
      <c r="D1145" s="8" t="s">
        <v>8</v>
      </c>
      <c r="E1145" s="8" t="s">
        <v>7</v>
      </c>
      <c r="F1145" s="5" t="s">
        <v>557</v>
      </c>
      <c r="G1145" s="40" t="s">
        <v>557</v>
      </c>
      <c r="H1145" s="5" t="s">
        <v>557</v>
      </c>
      <c r="I1145" s="5" t="s">
        <v>557</v>
      </c>
      <c r="J1145" s="40" t="s">
        <v>557</v>
      </c>
      <c r="K1145" s="12">
        <f t="shared" si="141"/>
        <v>25.1</v>
      </c>
      <c r="L1145" s="12">
        <f t="shared" si="141"/>
        <v>25.1</v>
      </c>
      <c r="M1145" s="12">
        <f t="shared" si="135"/>
        <v>100</v>
      </c>
      <c r="O1145" s="7"/>
      <c r="P1145" s="7"/>
      <c r="Q1145" s="7"/>
      <c r="R1145" s="7"/>
      <c r="S1145" s="7"/>
      <c r="T1145" s="7"/>
      <c r="U1145" s="7"/>
      <c r="V1145" s="7"/>
      <c r="W1145" s="7"/>
      <c r="X1145" s="7"/>
    </row>
    <row r="1146" spans="1:24" s="9" customFormat="1" ht="47.25" customHeight="1" x14ac:dyDescent="0.2">
      <c r="A1146" s="85"/>
      <c r="B1146" s="19" t="s">
        <v>276</v>
      </c>
      <c r="C1146" s="62">
        <v>947</v>
      </c>
      <c r="D1146" s="8" t="s">
        <v>8</v>
      </c>
      <c r="E1146" s="8" t="s">
        <v>7</v>
      </c>
      <c r="F1146" s="8" t="s">
        <v>173</v>
      </c>
      <c r="G1146" s="40" t="s">
        <v>557</v>
      </c>
      <c r="H1146" s="5" t="s">
        <v>557</v>
      </c>
      <c r="I1146" s="5" t="s">
        <v>557</v>
      </c>
      <c r="J1146" s="40" t="s">
        <v>557</v>
      </c>
      <c r="K1146" s="12">
        <f t="shared" si="141"/>
        <v>25.1</v>
      </c>
      <c r="L1146" s="12">
        <f t="shared" si="141"/>
        <v>25.1</v>
      </c>
      <c r="M1146" s="12">
        <f t="shared" si="135"/>
        <v>100</v>
      </c>
      <c r="O1146" s="7"/>
      <c r="P1146" s="7"/>
      <c r="Q1146" s="7"/>
      <c r="R1146" s="7"/>
      <c r="S1146" s="7"/>
      <c r="T1146" s="7"/>
      <c r="U1146" s="7"/>
      <c r="V1146" s="7"/>
      <c r="W1146" s="7"/>
      <c r="X1146" s="7"/>
    </row>
    <row r="1147" spans="1:24" s="9" customFormat="1" ht="63" x14ac:dyDescent="0.2">
      <c r="A1147" s="85"/>
      <c r="B1147" s="19" t="s">
        <v>277</v>
      </c>
      <c r="C1147" s="62">
        <v>947</v>
      </c>
      <c r="D1147" s="8" t="s">
        <v>8</v>
      </c>
      <c r="E1147" s="8" t="s">
        <v>7</v>
      </c>
      <c r="F1147" s="8" t="s">
        <v>173</v>
      </c>
      <c r="G1147" s="8" t="s">
        <v>116</v>
      </c>
      <c r="H1147" s="5" t="s">
        <v>557</v>
      </c>
      <c r="I1147" s="5" t="s">
        <v>557</v>
      </c>
      <c r="J1147" s="40" t="s">
        <v>557</v>
      </c>
      <c r="K1147" s="12">
        <f t="shared" si="141"/>
        <v>25.1</v>
      </c>
      <c r="L1147" s="12">
        <f t="shared" si="141"/>
        <v>25.1</v>
      </c>
      <c r="M1147" s="12">
        <f t="shared" si="135"/>
        <v>100</v>
      </c>
      <c r="O1147" s="7"/>
      <c r="P1147" s="7"/>
      <c r="Q1147" s="7"/>
      <c r="R1147" s="7"/>
      <c r="S1147" s="7"/>
      <c r="T1147" s="7"/>
      <c r="U1147" s="7"/>
      <c r="V1147" s="7"/>
      <c r="W1147" s="7"/>
      <c r="X1147" s="7"/>
    </row>
    <row r="1148" spans="1:24" s="9" customFormat="1" ht="49.5" customHeight="1" x14ac:dyDescent="0.2">
      <c r="A1148" s="85"/>
      <c r="B1148" s="19" t="s">
        <v>174</v>
      </c>
      <c r="C1148" s="62">
        <v>947</v>
      </c>
      <c r="D1148" s="8" t="s">
        <v>8</v>
      </c>
      <c r="E1148" s="8" t="s">
        <v>7</v>
      </c>
      <c r="F1148" s="8" t="s">
        <v>173</v>
      </c>
      <c r="G1148" s="8" t="s">
        <v>116</v>
      </c>
      <c r="H1148" s="8" t="s">
        <v>2</v>
      </c>
      <c r="I1148" s="5" t="s">
        <v>557</v>
      </c>
      <c r="J1148" s="40" t="s">
        <v>557</v>
      </c>
      <c r="K1148" s="12">
        <f t="shared" si="141"/>
        <v>25.1</v>
      </c>
      <c r="L1148" s="12">
        <f t="shared" si="141"/>
        <v>25.1</v>
      </c>
      <c r="M1148" s="12">
        <f t="shared" si="135"/>
        <v>100</v>
      </c>
      <c r="O1148" s="7"/>
      <c r="P1148" s="7"/>
      <c r="Q1148" s="7"/>
      <c r="R1148" s="7"/>
      <c r="S1148" s="7"/>
      <c r="T1148" s="7"/>
      <c r="U1148" s="7"/>
      <c r="V1148" s="7"/>
      <c r="W1148" s="7"/>
      <c r="X1148" s="7"/>
    </row>
    <row r="1149" spans="1:24" s="9" customFormat="1" ht="31.5" x14ac:dyDescent="0.2">
      <c r="A1149" s="85"/>
      <c r="B1149" s="19" t="s">
        <v>377</v>
      </c>
      <c r="C1149" s="62">
        <v>947</v>
      </c>
      <c r="D1149" s="8" t="s">
        <v>8</v>
      </c>
      <c r="E1149" s="8" t="s">
        <v>7</v>
      </c>
      <c r="F1149" s="8" t="s">
        <v>173</v>
      </c>
      <c r="G1149" s="8" t="s">
        <v>116</v>
      </c>
      <c r="H1149" s="8" t="s">
        <v>2</v>
      </c>
      <c r="I1149" s="8" t="s">
        <v>376</v>
      </c>
      <c r="J1149" s="40" t="s">
        <v>557</v>
      </c>
      <c r="K1149" s="12">
        <f>SUM(K1150)</f>
        <v>25.1</v>
      </c>
      <c r="L1149" s="12">
        <f>SUM(L1150)</f>
        <v>25.1</v>
      </c>
      <c r="M1149" s="12">
        <f t="shared" si="135"/>
        <v>100</v>
      </c>
      <c r="O1149" s="7"/>
      <c r="P1149" s="7"/>
      <c r="Q1149" s="7"/>
      <c r="R1149" s="7"/>
      <c r="S1149" s="7"/>
      <c r="T1149" s="7"/>
      <c r="U1149" s="7"/>
      <c r="V1149" s="7"/>
      <c r="W1149" s="7"/>
      <c r="X1149" s="7"/>
    </row>
    <row r="1150" spans="1:24" s="9" customFormat="1" ht="31.15" customHeight="1" x14ac:dyDescent="0.2">
      <c r="A1150" s="85"/>
      <c r="B1150" s="19" t="s">
        <v>164</v>
      </c>
      <c r="C1150" s="62">
        <v>947</v>
      </c>
      <c r="D1150" s="8" t="s">
        <v>8</v>
      </c>
      <c r="E1150" s="8" t="s">
        <v>7</v>
      </c>
      <c r="F1150" s="8" t="s">
        <v>173</v>
      </c>
      <c r="G1150" s="8" t="s">
        <v>116</v>
      </c>
      <c r="H1150" s="8" t="s">
        <v>2</v>
      </c>
      <c r="I1150" s="8" t="s">
        <v>376</v>
      </c>
      <c r="J1150" s="61" t="s">
        <v>57</v>
      </c>
      <c r="K1150" s="12">
        <v>25.1</v>
      </c>
      <c r="L1150" s="12">
        <v>25.1</v>
      </c>
      <c r="M1150" s="12">
        <f t="shared" si="135"/>
        <v>100</v>
      </c>
      <c r="O1150" s="7"/>
      <c r="P1150" s="7"/>
      <c r="Q1150" s="7"/>
      <c r="R1150" s="7"/>
      <c r="S1150" s="7"/>
      <c r="T1150" s="7"/>
      <c r="U1150" s="7"/>
      <c r="V1150" s="7"/>
      <c r="W1150" s="7"/>
      <c r="X1150" s="7"/>
    </row>
    <row r="1151" spans="1:24" s="9" customFormat="1" ht="32.450000000000003" customHeight="1" x14ac:dyDescent="0.2">
      <c r="A1151" s="85" t="s">
        <v>118</v>
      </c>
      <c r="B1151" s="55" t="s">
        <v>50</v>
      </c>
      <c r="C1151" s="61" t="s">
        <v>48</v>
      </c>
      <c r="D1151" s="40" t="s">
        <v>557</v>
      </c>
      <c r="E1151" s="40" t="s">
        <v>557</v>
      </c>
      <c r="F1151" s="5" t="s">
        <v>557</v>
      </c>
      <c r="G1151" s="40" t="s">
        <v>557</v>
      </c>
      <c r="H1151" s="5" t="s">
        <v>557</v>
      </c>
      <c r="I1151" s="5" t="s">
        <v>557</v>
      </c>
      <c r="J1151" s="40" t="s">
        <v>557</v>
      </c>
      <c r="K1151" s="12">
        <f>SUM(K1163+K1152)</f>
        <v>52588.5</v>
      </c>
      <c r="L1151" s="12">
        <f>SUM(L1163+L1152)</f>
        <v>51414.399999999994</v>
      </c>
      <c r="M1151" s="12">
        <f t="shared" si="135"/>
        <v>97.767382602660263</v>
      </c>
      <c r="O1151" s="7"/>
      <c r="P1151" s="7"/>
      <c r="Q1151" s="7"/>
      <c r="R1151" s="7"/>
      <c r="S1151" s="7"/>
      <c r="T1151" s="7"/>
      <c r="U1151" s="7"/>
      <c r="V1151" s="7"/>
      <c r="W1151" s="7"/>
      <c r="X1151" s="7"/>
    </row>
    <row r="1152" spans="1:24" s="9" customFormat="1" ht="18" customHeight="1" x14ac:dyDescent="0.2">
      <c r="A1152" s="85"/>
      <c r="B1152" s="52" t="s">
        <v>18</v>
      </c>
      <c r="C1152" s="62">
        <v>953</v>
      </c>
      <c r="D1152" s="8" t="s">
        <v>8</v>
      </c>
      <c r="E1152" s="40" t="s">
        <v>557</v>
      </c>
      <c r="F1152" s="5" t="s">
        <v>557</v>
      </c>
      <c r="G1152" s="40" t="s">
        <v>557</v>
      </c>
      <c r="H1152" s="5" t="s">
        <v>557</v>
      </c>
      <c r="I1152" s="5" t="s">
        <v>557</v>
      </c>
      <c r="J1152" s="40" t="s">
        <v>557</v>
      </c>
      <c r="K1152" s="12">
        <f>SUM(K1153)</f>
        <v>85.300000000000011</v>
      </c>
      <c r="L1152" s="12">
        <f>SUM(L1153)</f>
        <v>85.300000000000011</v>
      </c>
      <c r="M1152" s="12">
        <f t="shared" si="135"/>
        <v>100</v>
      </c>
      <c r="O1152" s="7"/>
      <c r="P1152" s="7"/>
      <c r="Q1152" s="7"/>
      <c r="R1152" s="7"/>
      <c r="S1152" s="7"/>
      <c r="T1152" s="7"/>
      <c r="U1152" s="7"/>
      <c r="V1152" s="7"/>
      <c r="W1152" s="7"/>
      <c r="X1152" s="7"/>
    </row>
    <row r="1153" spans="1:24" s="9" customFormat="1" ht="18" customHeight="1" x14ac:dyDescent="0.2">
      <c r="A1153" s="85"/>
      <c r="B1153" s="52" t="s">
        <v>27</v>
      </c>
      <c r="C1153" s="62">
        <v>953</v>
      </c>
      <c r="D1153" s="8" t="s">
        <v>8</v>
      </c>
      <c r="E1153" s="8" t="s">
        <v>24</v>
      </c>
      <c r="F1153" s="5" t="s">
        <v>557</v>
      </c>
      <c r="G1153" s="40" t="s">
        <v>557</v>
      </c>
      <c r="H1153" s="5" t="s">
        <v>557</v>
      </c>
      <c r="I1153" s="5" t="s">
        <v>557</v>
      </c>
      <c r="J1153" s="40" t="s">
        <v>557</v>
      </c>
      <c r="K1153" s="12">
        <f t="shared" ref="K1153:L1153" si="142">K1154</f>
        <v>85.300000000000011</v>
      </c>
      <c r="L1153" s="12">
        <f t="shared" si="142"/>
        <v>85.300000000000011</v>
      </c>
      <c r="M1153" s="12">
        <f t="shared" si="135"/>
        <v>100</v>
      </c>
      <c r="O1153" s="7"/>
      <c r="P1153" s="7"/>
      <c r="Q1153" s="7"/>
      <c r="R1153" s="7"/>
      <c r="S1153" s="7"/>
      <c r="T1153" s="7"/>
      <c r="U1153" s="7"/>
      <c r="V1153" s="7"/>
      <c r="W1153" s="7"/>
      <c r="X1153" s="7"/>
    </row>
    <row r="1154" spans="1:24" s="9" customFormat="1" ht="47.25" x14ac:dyDescent="0.2">
      <c r="A1154" s="85"/>
      <c r="B1154" s="41" t="s">
        <v>280</v>
      </c>
      <c r="C1154" s="62">
        <v>953</v>
      </c>
      <c r="D1154" s="8" t="s">
        <v>8</v>
      </c>
      <c r="E1154" s="8" t="s">
        <v>24</v>
      </c>
      <c r="F1154" s="8" t="s">
        <v>21</v>
      </c>
      <c r="G1154" s="40" t="s">
        <v>557</v>
      </c>
      <c r="H1154" s="5" t="s">
        <v>557</v>
      </c>
      <c r="I1154" s="5" t="s">
        <v>557</v>
      </c>
      <c r="J1154" s="40" t="s">
        <v>557</v>
      </c>
      <c r="K1154" s="12">
        <f>K1155+K1159</f>
        <v>85.300000000000011</v>
      </c>
      <c r="L1154" s="12">
        <f>L1155+L1159</f>
        <v>85.300000000000011</v>
      </c>
      <c r="M1154" s="12">
        <f t="shared" si="135"/>
        <v>100</v>
      </c>
      <c r="O1154" s="7"/>
      <c r="P1154" s="7"/>
      <c r="Q1154" s="7"/>
      <c r="R1154" s="7"/>
      <c r="S1154" s="7"/>
      <c r="T1154" s="7"/>
      <c r="U1154" s="7"/>
      <c r="V1154" s="7"/>
      <c r="W1154" s="7"/>
      <c r="X1154" s="7"/>
    </row>
    <row r="1155" spans="1:24" s="9" customFormat="1" x14ac:dyDescent="0.2">
      <c r="A1155" s="85"/>
      <c r="B1155" s="41" t="s">
        <v>281</v>
      </c>
      <c r="C1155" s="62">
        <v>953</v>
      </c>
      <c r="D1155" s="8" t="s">
        <v>8</v>
      </c>
      <c r="E1155" s="8" t="s">
        <v>24</v>
      </c>
      <c r="F1155" s="8" t="s">
        <v>21</v>
      </c>
      <c r="G1155" s="63">
        <v>2</v>
      </c>
      <c r="H1155" s="5" t="s">
        <v>557</v>
      </c>
      <c r="I1155" s="5" t="s">
        <v>557</v>
      </c>
      <c r="J1155" s="40" t="s">
        <v>557</v>
      </c>
      <c r="K1155" s="12">
        <f t="shared" ref="K1155:L1156" si="143">SUM(K1156)</f>
        <v>67.900000000000006</v>
      </c>
      <c r="L1155" s="12">
        <f t="shared" si="143"/>
        <v>67.900000000000006</v>
      </c>
      <c r="M1155" s="12">
        <f t="shared" si="135"/>
        <v>100</v>
      </c>
      <c r="O1155" s="7"/>
      <c r="P1155" s="7"/>
      <c r="Q1155" s="7"/>
      <c r="R1155" s="7"/>
      <c r="S1155" s="7"/>
      <c r="T1155" s="7"/>
      <c r="U1155" s="7"/>
      <c r="V1155" s="7"/>
      <c r="W1155" s="7"/>
      <c r="X1155" s="7"/>
    </row>
    <row r="1156" spans="1:24" s="9" customFormat="1" ht="18" customHeight="1" x14ac:dyDescent="0.2">
      <c r="A1156" s="85"/>
      <c r="B1156" s="41" t="s">
        <v>161</v>
      </c>
      <c r="C1156" s="62">
        <v>953</v>
      </c>
      <c r="D1156" s="8" t="s">
        <v>8</v>
      </c>
      <c r="E1156" s="8" t="s">
        <v>24</v>
      </c>
      <c r="F1156" s="8" t="s">
        <v>21</v>
      </c>
      <c r="G1156" s="63">
        <v>2</v>
      </c>
      <c r="H1156" s="8" t="s">
        <v>2</v>
      </c>
      <c r="I1156" s="5" t="s">
        <v>557</v>
      </c>
      <c r="J1156" s="40" t="s">
        <v>557</v>
      </c>
      <c r="K1156" s="12">
        <f t="shared" si="143"/>
        <v>67.900000000000006</v>
      </c>
      <c r="L1156" s="12">
        <f t="shared" si="143"/>
        <v>67.900000000000006</v>
      </c>
      <c r="M1156" s="12">
        <f t="shared" si="135"/>
        <v>100</v>
      </c>
      <c r="O1156" s="7"/>
      <c r="P1156" s="7"/>
      <c r="Q1156" s="7"/>
      <c r="R1156" s="7"/>
      <c r="S1156" s="7"/>
      <c r="T1156" s="7"/>
      <c r="U1156" s="7"/>
      <c r="V1156" s="7"/>
      <c r="W1156" s="7"/>
      <c r="X1156" s="7"/>
    </row>
    <row r="1157" spans="1:24" s="9" customFormat="1" ht="112.5" customHeight="1" x14ac:dyDescent="0.2">
      <c r="A1157" s="85"/>
      <c r="B1157" s="56" t="s">
        <v>190</v>
      </c>
      <c r="C1157" s="62">
        <v>953</v>
      </c>
      <c r="D1157" s="8" t="s">
        <v>8</v>
      </c>
      <c r="E1157" s="8" t="s">
        <v>24</v>
      </c>
      <c r="F1157" s="8" t="s">
        <v>21</v>
      </c>
      <c r="G1157" s="63">
        <v>2</v>
      </c>
      <c r="H1157" s="8" t="s">
        <v>2</v>
      </c>
      <c r="I1157" s="8" t="s">
        <v>388</v>
      </c>
      <c r="J1157" s="40" t="s">
        <v>557</v>
      </c>
      <c r="K1157" s="12">
        <f>SUM(K1158:K1158)</f>
        <v>67.900000000000006</v>
      </c>
      <c r="L1157" s="12">
        <f>SUM(L1158:L1158)</f>
        <v>67.900000000000006</v>
      </c>
      <c r="M1157" s="12">
        <f t="shared" si="135"/>
        <v>100</v>
      </c>
      <c r="O1157" s="7"/>
      <c r="P1157" s="7"/>
      <c r="Q1157" s="7"/>
      <c r="R1157" s="7"/>
      <c r="S1157" s="7"/>
      <c r="T1157" s="7"/>
      <c r="U1157" s="7"/>
      <c r="V1157" s="7"/>
      <c r="W1157" s="7"/>
      <c r="X1157" s="7"/>
    </row>
    <row r="1158" spans="1:24" s="9" customFormat="1" ht="34.9" customHeight="1" x14ac:dyDescent="0.2">
      <c r="A1158" s="85"/>
      <c r="B1158" s="19" t="s">
        <v>164</v>
      </c>
      <c r="C1158" s="62">
        <v>953</v>
      </c>
      <c r="D1158" s="8" t="s">
        <v>8</v>
      </c>
      <c r="E1158" s="8" t="s">
        <v>24</v>
      </c>
      <c r="F1158" s="8" t="s">
        <v>21</v>
      </c>
      <c r="G1158" s="63">
        <v>2</v>
      </c>
      <c r="H1158" s="8" t="s">
        <v>2</v>
      </c>
      <c r="I1158" s="8" t="s">
        <v>388</v>
      </c>
      <c r="J1158" s="61" t="s">
        <v>57</v>
      </c>
      <c r="K1158" s="12">
        <f>33.2+85.5-50.8</f>
        <v>67.900000000000006</v>
      </c>
      <c r="L1158" s="12">
        <f>33.2+85.5-50.8</f>
        <v>67.900000000000006</v>
      </c>
      <c r="M1158" s="12">
        <f t="shared" si="135"/>
        <v>100</v>
      </c>
      <c r="O1158" s="7"/>
      <c r="P1158" s="7"/>
      <c r="Q1158" s="7"/>
      <c r="R1158" s="7"/>
      <c r="S1158" s="7"/>
      <c r="T1158" s="7"/>
      <c r="U1158" s="7"/>
      <c r="V1158" s="7"/>
      <c r="W1158" s="7"/>
      <c r="X1158" s="7"/>
    </row>
    <row r="1159" spans="1:24" s="9" customFormat="1" ht="32.25" customHeight="1" x14ac:dyDescent="0.2">
      <c r="A1159" s="85"/>
      <c r="B1159" s="19" t="s">
        <v>195</v>
      </c>
      <c r="C1159" s="62">
        <v>953</v>
      </c>
      <c r="D1159" s="8" t="s">
        <v>8</v>
      </c>
      <c r="E1159" s="8" t="s">
        <v>24</v>
      </c>
      <c r="F1159" s="8" t="s">
        <v>21</v>
      </c>
      <c r="G1159" s="63">
        <v>3</v>
      </c>
      <c r="H1159" s="5" t="s">
        <v>557</v>
      </c>
      <c r="I1159" s="5" t="s">
        <v>557</v>
      </c>
      <c r="J1159" s="40" t="s">
        <v>557</v>
      </c>
      <c r="K1159" s="12">
        <f t="shared" ref="K1159:L1161" si="144">SUM(K1160)</f>
        <v>17.400000000000006</v>
      </c>
      <c r="L1159" s="12">
        <f t="shared" si="144"/>
        <v>17.400000000000006</v>
      </c>
      <c r="M1159" s="12">
        <f t="shared" ref="M1159:M1197" si="145">SUM(L1159/K1159*100)</f>
        <v>100</v>
      </c>
      <c r="O1159" s="7"/>
      <c r="P1159" s="7"/>
      <c r="Q1159" s="7"/>
      <c r="R1159" s="7"/>
      <c r="S1159" s="7"/>
      <c r="T1159" s="7"/>
      <c r="U1159" s="7"/>
      <c r="V1159" s="7"/>
      <c r="W1159" s="7"/>
      <c r="X1159" s="7"/>
    </row>
    <row r="1160" spans="1:24" s="9" customFormat="1" ht="47.25" x14ac:dyDescent="0.2">
      <c r="A1160" s="85"/>
      <c r="B1160" s="19" t="s">
        <v>152</v>
      </c>
      <c r="C1160" s="62">
        <v>953</v>
      </c>
      <c r="D1160" s="8" t="s">
        <v>8</v>
      </c>
      <c r="E1160" s="8" t="s">
        <v>24</v>
      </c>
      <c r="F1160" s="8" t="s">
        <v>21</v>
      </c>
      <c r="G1160" s="63">
        <v>3</v>
      </c>
      <c r="H1160" s="8" t="s">
        <v>2</v>
      </c>
      <c r="I1160" s="5" t="s">
        <v>557</v>
      </c>
      <c r="J1160" s="40" t="s">
        <v>557</v>
      </c>
      <c r="K1160" s="12">
        <f t="shared" si="144"/>
        <v>17.400000000000006</v>
      </c>
      <c r="L1160" s="12">
        <f t="shared" si="144"/>
        <v>17.400000000000006</v>
      </c>
      <c r="M1160" s="12">
        <f t="shared" si="145"/>
        <v>100</v>
      </c>
      <c r="O1160" s="7"/>
      <c r="P1160" s="7"/>
      <c r="Q1160" s="7"/>
      <c r="R1160" s="7"/>
      <c r="S1160" s="7"/>
      <c r="T1160" s="7"/>
      <c r="U1160" s="7"/>
      <c r="V1160" s="7"/>
      <c r="W1160" s="7"/>
      <c r="X1160" s="7"/>
    </row>
    <row r="1161" spans="1:24" s="9" customFormat="1" ht="49.15" customHeight="1" x14ac:dyDescent="0.2">
      <c r="A1161" s="85"/>
      <c r="B1161" s="19" t="s">
        <v>429</v>
      </c>
      <c r="C1161" s="62">
        <v>953</v>
      </c>
      <c r="D1161" s="8" t="s">
        <v>8</v>
      </c>
      <c r="E1161" s="8" t="s">
        <v>24</v>
      </c>
      <c r="F1161" s="8" t="s">
        <v>21</v>
      </c>
      <c r="G1161" s="63">
        <v>3</v>
      </c>
      <c r="H1161" s="8" t="s">
        <v>2</v>
      </c>
      <c r="I1161" s="8" t="s">
        <v>319</v>
      </c>
      <c r="J1161" s="40" t="s">
        <v>557</v>
      </c>
      <c r="K1161" s="12">
        <f t="shared" si="144"/>
        <v>17.400000000000006</v>
      </c>
      <c r="L1161" s="12">
        <f t="shared" si="144"/>
        <v>17.400000000000006</v>
      </c>
      <c r="M1161" s="12">
        <f t="shared" si="145"/>
        <v>100</v>
      </c>
      <c r="O1161" s="7"/>
      <c r="P1161" s="7"/>
      <c r="Q1161" s="7"/>
      <c r="R1161" s="7"/>
      <c r="S1161" s="7"/>
      <c r="T1161" s="7"/>
      <c r="U1161" s="7"/>
      <c r="V1161" s="7"/>
      <c r="W1161" s="7"/>
      <c r="X1161" s="7"/>
    </row>
    <row r="1162" spans="1:24" s="9" customFormat="1" ht="32.450000000000003" customHeight="1" x14ac:dyDescent="0.2">
      <c r="A1162" s="85"/>
      <c r="B1162" s="19" t="s">
        <v>164</v>
      </c>
      <c r="C1162" s="62">
        <v>953</v>
      </c>
      <c r="D1162" s="8" t="s">
        <v>8</v>
      </c>
      <c r="E1162" s="8" t="s">
        <v>24</v>
      </c>
      <c r="F1162" s="8" t="s">
        <v>21</v>
      </c>
      <c r="G1162" s="63">
        <v>3</v>
      </c>
      <c r="H1162" s="8" t="s">
        <v>2</v>
      </c>
      <c r="I1162" s="8" t="s">
        <v>319</v>
      </c>
      <c r="J1162" s="8" t="s">
        <v>57</v>
      </c>
      <c r="K1162" s="12">
        <f>150-132.6</f>
        <v>17.400000000000006</v>
      </c>
      <c r="L1162" s="12">
        <f>150-132.6</f>
        <v>17.400000000000006</v>
      </c>
      <c r="M1162" s="12">
        <f t="shared" si="145"/>
        <v>100</v>
      </c>
      <c r="O1162" s="7"/>
      <c r="P1162" s="7"/>
      <c r="Q1162" s="7"/>
      <c r="R1162" s="7"/>
      <c r="S1162" s="7"/>
      <c r="T1162" s="7"/>
      <c r="U1162" s="7"/>
      <c r="V1162" s="7"/>
      <c r="W1162" s="7"/>
      <c r="X1162" s="7"/>
    </row>
    <row r="1163" spans="1:24" s="9" customFormat="1" ht="18" customHeight="1" x14ac:dyDescent="0.2">
      <c r="A1163" s="85"/>
      <c r="B1163" s="19" t="s">
        <v>20</v>
      </c>
      <c r="C1163" s="62">
        <v>953</v>
      </c>
      <c r="D1163" s="8" t="s">
        <v>21</v>
      </c>
      <c r="E1163" s="40" t="s">
        <v>557</v>
      </c>
      <c r="F1163" s="5" t="s">
        <v>557</v>
      </c>
      <c r="G1163" s="40" t="s">
        <v>557</v>
      </c>
      <c r="H1163" s="5" t="s">
        <v>557</v>
      </c>
      <c r="I1163" s="5" t="s">
        <v>557</v>
      </c>
      <c r="J1163" s="40" t="s">
        <v>557</v>
      </c>
      <c r="K1163" s="12">
        <f>SUM(K1164+K1181)</f>
        <v>52503.199999999997</v>
      </c>
      <c r="L1163" s="12">
        <f>SUM(L1164+L1181)</f>
        <v>51329.099999999991</v>
      </c>
      <c r="M1163" s="12">
        <f t="shared" si="145"/>
        <v>97.763755352054716</v>
      </c>
      <c r="O1163" s="7"/>
      <c r="P1163" s="7"/>
      <c r="Q1163" s="7"/>
      <c r="R1163" s="7"/>
      <c r="S1163" s="7"/>
      <c r="T1163" s="7"/>
      <c r="U1163" s="7"/>
      <c r="V1163" s="7"/>
      <c r="W1163" s="7"/>
      <c r="X1163" s="7"/>
    </row>
    <row r="1164" spans="1:24" s="9" customFormat="1" ht="16.149999999999999" customHeight="1" x14ac:dyDescent="0.2">
      <c r="A1164" s="85"/>
      <c r="B1164" s="19" t="s">
        <v>29</v>
      </c>
      <c r="C1164" s="62">
        <v>953</v>
      </c>
      <c r="D1164" s="61" t="s">
        <v>21</v>
      </c>
      <c r="E1164" s="61" t="s">
        <v>6</v>
      </c>
      <c r="F1164" s="5" t="s">
        <v>557</v>
      </c>
      <c r="G1164" s="40" t="s">
        <v>557</v>
      </c>
      <c r="H1164" s="5" t="s">
        <v>557</v>
      </c>
      <c r="I1164" s="5" t="s">
        <v>557</v>
      </c>
      <c r="J1164" s="40" t="s">
        <v>557</v>
      </c>
      <c r="K1164" s="12">
        <f>SUM(K1165)</f>
        <v>39838.999999999993</v>
      </c>
      <c r="L1164" s="12">
        <f>SUM(L1165)</f>
        <v>39758.499999999993</v>
      </c>
      <c r="M1164" s="12">
        <f t="shared" si="145"/>
        <v>99.797936695198175</v>
      </c>
      <c r="O1164" s="7"/>
      <c r="P1164" s="7"/>
      <c r="Q1164" s="7"/>
      <c r="R1164" s="7"/>
      <c r="S1164" s="7"/>
      <c r="T1164" s="7"/>
      <c r="U1164" s="7"/>
      <c r="V1164" s="7"/>
      <c r="W1164" s="7"/>
      <c r="X1164" s="7"/>
    </row>
    <row r="1165" spans="1:24" s="9" customFormat="1" ht="47.25" x14ac:dyDescent="0.2">
      <c r="A1165" s="85"/>
      <c r="B1165" s="41" t="s">
        <v>280</v>
      </c>
      <c r="C1165" s="62">
        <v>953</v>
      </c>
      <c r="D1165" s="61" t="s">
        <v>21</v>
      </c>
      <c r="E1165" s="61" t="s">
        <v>6</v>
      </c>
      <c r="F1165" s="61" t="s">
        <v>21</v>
      </c>
      <c r="G1165" s="40" t="s">
        <v>557</v>
      </c>
      <c r="H1165" s="5" t="s">
        <v>557</v>
      </c>
      <c r="I1165" s="5" t="s">
        <v>557</v>
      </c>
      <c r="J1165" s="40" t="s">
        <v>557</v>
      </c>
      <c r="K1165" s="12">
        <f t="shared" ref="K1165:L1165" si="146">SUM(K1166)</f>
        <v>39838.999999999993</v>
      </c>
      <c r="L1165" s="12">
        <f t="shared" si="146"/>
        <v>39758.499999999993</v>
      </c>
      <c r="M1165" s="12">
        <f t="shared" si="145"/>
        <v>99.797936695198175</v>
      </c>
      <c r="O1165" s="7"/>
      <c r="P1165" s="7"/>
      <c r="Q1165" s="7"/>
      <c r="R1165" s="7"/>
      <c r="S1165" s="7"/>
      <c r="T1165" s="7"/>
      <c r="U1165" s="7"/>
      <c r="V1165" s="7"/>
      <c r="W1165" s="7"/>
      <c r="X1165" s="7"/>
    </row>
    <row r="1166" spans="1:24" s="9" customFormat="1" ht="17.25" customHeight="1" x14ac:dyDescent="0.2">
      <c r="A1166" s="85"/>
      <c r="B1166" s="41" t="s">
        <v>281</v>
      </c>
      <c r="C1166" s="62">
        <v>953</v>
      </c>
      <c r="D1166" s="61" t="s">
        <v>21</v>
      </c>
      <c r="E1166" s="61" t="s">
        <v>6</v>
      </c>
      <c r="F1166" s="61" t="s">
        <v>21</v>
      </c>
      <c r="G1166" s="62">
        <v>2</v>
      </c>
      <c r="H1166" s="5" t="s">
        <v>557</v>
      </c>
      <c r="I1166" s="5" t="s">
        <v>557</v>
      </c>
      <c r="J1166" s="40" t="s">
        <v>557</v>
      </c>
      <c r="K1166" s="12">
        <f>SUM(K1167)</f>
        <v>39838.999999999993</v>
      </c>
      <c r="L1166" s="12">
        <f>SUM(L1167)</f>
        <v>39758.499999999993</v>
      </c>
      <c r="M1166" s="12">
        <f t="shared" si="145"/>
        <v>99.797936695198175</v>
      </c>
      <c r="O1166" s="7"/>
      <c r="P1166" s="7"/>
      <c r="Q1166" s="7"/>
      <c r="R1166" s="7"/>
      <c r="S1166" s="7"/>
      <c r="T1166" s="7"/>
      <c r="U1166" s="7"/>
      <c r="V1166" s="7"/>
      <c r="W1166" s="7"/>
      <c r="X1166" s="7"/>
    </row>
    <row r="1167" spans="1:24" s="9" customFormat="1" ht="16.899999999999999" customHeight="1" x14ac:dyDescent="0.2">
      <c r="A1167" s="85"/>
      <c r="B1167" s="53" t="s">
        <v>161</v>
      </c>
      <c r="C1167" s="62">
        <v>953</v>
      </c>
      <c r="D1167" s="61" t="s">
        <v>21</v>
      </c>
      <c r="E1167" s="61" t="s">
        <v>6</v>
      </c>
      <c r="F1167" s="61" t="s">
        <v>21</v>
      </c>
      <c r="G1167" s="62">
        <v>2</v>
      </c>
      <c r="H1167" s="61" t="s">
        <v>2</v>
      </c>
      <c r="I1167" s="5" t="s">
        <v>557</v>
      </c>
      <c r="J1167" s="40" t="s">
        <v>557</v>
      </c>
      <c r="K1167" s="12">
        <f>SUM(K1168+K1171+K1173+K1175+K1177+K1179)</f>
        <v>39838.999999999993</v>
      </c>
      <c r="L1167" s="12">
        <f>SUM(L1168+L1171+L1173+L1175+L1177+L1179)</f>
        <v>39758.499999999993</v>
      </c>
      <c r="M1167" s="12">
        <f t="shared" si="145"/>
        <v>99.797936695198175</v>
      </c>
      <c r="O1167" s="7"/>
      <c r="P1167" s="7"/>
      <c r="Q1167" s="7"/>
      <c r="R1167" s="7"/>
      <c r="S1167" s="7"/>
      <c r="T1167" s="7"/>
      <c r="U1167" s="7"/>
      <c r="V1167" s="7"/>
      <c r="W1167" s="7"/>
      <c r="X1167" s="7"/>
    </row>
    <row r="1168" spans="1:24" s="9" customFormat="1" ht="110.25" customHeight="1" x14ac:dyDescent="0.2">
      <c r="A1168" s="85"/>
      <c r="B1168" s="53" t="s">
        <v>325</v>
      </c>
      <c r="C1168" s="62">
        <v>953</v>
      </c>
      <c r="D1168" s="61" t="s">
        <v>21</v>
      </c>
      <c r="E1168" s="61" t="s">
        <v>6</v>
      </c>
      <c r="F1168" s="61" t="s">
        <v>21</v>
      </c>
      <c r="G1168" s="62">
        <v>2</v>
      </c>
      <c r="H1168" s="61" t="s">
        <v>2</v>
      </c>
      <c r="I1168" s="61" t="s">
        <v>389</v>
      </c>
      <c r="J1168" s="40" t="s">
        <v>557</v>
      </c>
      <c r="K1168" s="12">
        <f>SUM(K1169:K1170)</f>
        <v>27504.400000000001</v>
      </c>
      <c r="L1168" s="12">
        <f>SUM(L1169:L1170)</f>
        <v>27440.1</v>
      </c>
      <c r="M1168" s="12">
        <f t="shared" si="145"/>
        <v>99.766219223106106</v>
      </c>
      <c r="O1168" s="7"/>
      <c r="P1168" s="7"/>
      <c r="Q1168" s="7"/>
      <c r="R1168" s="7"/>
      <c r="S1168" s="7"/>
      <c r="T1168" s="7"/>
      <c r="U1168" s="7"/>
      <c r="V1168" s="7"/>
      <c r="W1168" s="7"/>
      <c r="X1168" s="7"/>
    </row>
    <row r="1169" spans="1:24" s="9" customFormat="1" ht="32.450000000000003" customHeight="1" x14ac:dyDescent="0.2">
      <c r="A1169" s="85"/>
      <c r="B1169" s="19" t="s">
        <v>164</v>
      </c>
      <c r="C1169" s="62">
        <v>953</v>
      </c>
      <c r="D1169" s="61" t="s">
        <v>21</v>
      </c>
      <c r="E1169" s="61" t="s">
        <v>6</v>
      </c>
      <c r="F1169" s="61" t="s">
        <v>21</v>
      </c>
      <c r="G1169" s="62">
        <v>2</v>
      </c>
      <c r="H1169" s="61" t="s">
        <v>2</v>
      </c>
      <c r="I1169" s="61" t="s">
        <v>389</v>
      </c>
      <c r="J1169" s="61" t="s">
        <v>57</v>
      </c>
      <c r="K1169" s="12">
        <f>501-228.9</f>
        <v>272.10000000000002</v>
      </c>
      <c r="L1169" s="12">
        <f>501-228.9</f>
        <v>272.10000000000002</v>
      </c>
      <c r="M1169" s="12">
        <f t="shared" si="145"/>
        <v>100</v>
      </c>
      <c r="O1169" s="7"/>
      <c r="P1169" s="7"/>
      <c r="Q1169" s="7"/>
      <c r="R1169" s="7"/>
      <c r="S1169" s="7"/>
      <c r="T1169" s="7"/>
      <c r="U1169" s="7"/>
      <c r="V1169" s="7"/>
      <c r="W1169" s="7"/>
      <c r="X1169" s="7"/>
    </row>
    <row r="1170" spans="1:24" s="9" customFormat="1" ht="16.899999999999999" customHeight="1" x14ac:dyDescent="0.2">
      <c r="A1170" s="85"/>
      <c r="B1170" s="19" t="s">
        <v>65</v>
      </c>
      <c r="C1170" s="62">
        <v>953</v>
      </c>
      <c r="D1170" s="61" t="s">
        <v>21</v>
      </c>
      <c r="E1170" s="61" t="s">
        <v>6</v>
      </c>
      <c r="F1170" s="61" t="s">
        <v>21</v>
      </c>
      <c r="G1170" s="62">
        <v>2</v>
      </c>
      <c r="H1170" s="61" t="s">
        <v>2</v>
      </c>
      <c r="I1170" s="61" t="s">
        <v>389</v>
      </c>
      <c r="J1170" s="61" t="s">
        <v>66</v>
      </c>
      <c r="K1170" s="12">
        <f>39634.9+200.5-6481.7-6042.4-79</f>
        <v>27232.300000000003</v>
      </c>
      <c r="L1170" s="12">
        <v>27168</v>
      </c>
      <c r="M1170" s="12">
        <f t="shared" si="145"/>
        <v>99.763883329722418</v>
      </c>
      <c r="O1170" s="7"/>
      <c r="P1170" s="7"/>
      <c r="Q1170" s="7"/>
      <c r="R1170" s="7"/>
      <c r="S1170" s="7"/>
      <c r="T1170" s="7"/>
      <c r="U1170" s="7"/>
      <c r="V1170" s="7"/>
      <c r="W1170" s="7"/>
      <c r="X1170" s="7"/>
    </row>
    <row r="1171" spans="1:24" s="9" customFormat="1" ht="81" customHeight="1" x14ac:dyDescent="0.2">
      <c r="A1171" s="85"/>
      <c r="B1171" s="56" t="s">
        <v>404</v>
      </c>
      <c r="C1171" s="62">
        <v>953</v>
      </c>
      <c r="D1171" s="61" t="s">
        <v>21</v>
      </c>
      <c r="E1171" s="61" t="s">
        <v>6</v>
      </c>
      <c r="F1171" s="8" t="s">
        <v>21</v>
      </c>
      <c r="G1171" s="8" t="s">
        <v>156</v>
      </c>
      <c r="H1171" s="8" t="s">
        <v>2</v>
      </c>
      <c r="I1171" s="8" t="s">
        <v>403</v>
      </c>
      <c r="J1171" s="40" t="s">
        <v>557</v>
      </c>
      <c r="K1171" s="12">
        <f>SUM(K1172:K1172)</f>
        <v>83.600000000000023</v>
      </c>
      <c r="L1171" s="12">
        <f>SUM(L1172:L1172)</f>
        <v>82.9</v>
      </c>
      <c r="M1171" s="12">
        <f t="shared" si="145"/>
        <v>99.162679425837297</v>
      </c>
      <c r="O1171" s="7"/>
      <c r="P1171" s="7"/>
      <c r="Q1171" s="7"/>
      <c r="R1171" s="7"/>
      <c r="S1171" s="7"/>
      <c r="T1171" s="7"/>
      <c r="U1171" s="7"/>
      <c r="V1171" s="7"/>
      <c r="W1171" s="7"/>
      <c r="X1171" s="7"/>
    </row>
    <row r="1172" spans="1:24" s="9" customFormat="1" ht="15.75" customHeight="1" x14ac:dyDescent="0.2">
      <c r="A1172" s="85"/>
      <c r="B1172" s="19" t="s">
        <v>65</v>
      </c>
      <c r="C1172" s="62">
        <v>953</v>
      </c>
      <c r="D1172" s="61" t="s">
        <v>21</v>
      </c>
      <c r="E1172" s="61" t="s">
        <v>6</v>
      </c>
      <c r="F1172" s="8" t="s">
        <v>21</v>
      </c>
      <c r="G1172" s="8" t="s">
        <v>156</v>
      </c>
      <c r="H1172" s="8" t="s">
        <v>2</v>
      </c>
      <c r="I1172" s="8" t="s">
        <v>403</v>
      </c>
      <c r="J1172" s="8" t="s">
        <v>66</v>
      </c>
      <c r="K1172" s="12">
        <f>170.4+0.9-19.7-68</f>
        <v>83.600000000000023</v>
      </c>
      <c r="L1172" s="12">
        <v>82.9</v>
      </c>
      <c r="M1172" s="12">
        <f t="shared" si="145"/>
        <v>99.162679425837297</v>
      </c>
      <c r="O1172" s="7"/>
      <c r="P1172" s="7"/>
      <c r="Q1172" s="7"/>
      <c r="R1172" s="7"/>
      <c r="S1172" s="7"/>
      <c r="T1172" s="7"/>
      <c r="U1172" s="7"/>
      <c r="V1172" s="7"/>
      <c r="W1172" s="7"/>
      <c r="X1172" s="7"/>
    </row>
    <row r="1173" spans="1:24" s="9" customFormat="1" ht="77.25" customHeight="1" x14ac:dyDescent="0.2">
      <c r="A1173" s="85"/>
      <c r="B1173" s="44" t="s">
        <v>326</v>
      </c>
      <c r="C1173" s="62">
        <v>953</v>
      </c>
      <c r="D1173" s="61" t="s">
        <v>21</v>
      </c>
      <c r="E1173" s="61" t="s">
        <v>6</v>
      </c>
      <c r="F1173" s="61" t="s">
        <v>21</v>
      </c>
      <c r="G1173" s="62">
        <v>2</v>
      </c>
      <c r="H1173" s="61" t="s">
        <v>2</v>
      </c>
      <c r="I1173" s="61" t="s">
        <v>390</v>
      </c>
      <c r="J1173" s="40" t="s">
        <v>557</v>
      </c>
      <c r="K1173" s="12">
        <f>SUM(K1174:K1174)</f>
        <v>12111.199999999999</v>
      </c>
      <c r="L1173" s="12">
        <f>SUM(L1174:L1174)</f>
        <v>12097.1</v>
      </c>
      <c r="M1173" s="12">
        <f t="shared" si="145"/>
        <v>99.883578836118645</v>
      </c>
      <c r="O1173" s="7"/>
      <c r="P1173" s="7"/>
      <c r="Q1173" s="7"/>
      <c r="R1173" s="7"/>
      <c r="S1173" s="7"/>
      <c r="T1173" s="7"/>
      <c r="U1173" s="7"/>
      <c r="V1173" s="7"/>
      <c r="W1173" s="7"/>
      <c r="X1173" s="7"/>
    </row>
    <row r="1174" spans="1:24" s="9" customFormat="1" ht="15.75" customHeight="1" x14ac:dyDescent="0.2">
      <c r="A1174" s="85"/>
      <c r="B1174" s="19" t="s">
        <v>65</v>
      </c>
      <c r="C1174" s="62">
        <v>953</v>
      </c>
      <c r="D1174" s="61" t="s">
        <v>21</v>
      </c>
      <c r="E1174" s="61" t="s">
        <v>6</v>
      </c>
      <c r="F1174" s="61" t="s">
        <v>21</v>
      </c>
      <c r="G1174" s="62">
        <v>2</v>
      </c>
      <c r="H1174" s="61" t="s">
        <v>2</v>
      </c>
      <c r="I1174" s="61" t="s">
        <v>390</v>
      </c>
      <c r="J1174" s="61" t="s">
        <v>66</v>
      </c>
      <c r="K1174" s="12">
        <f>18571.6-6702.4+242</f>
        <v>12111.199999999999</v>
      </c>
      <c r="L1174" s="12">
        <v>12097.1</v>
      </c>
      <c r="M1174" s="12">
        <f t="shared" si="145"/>
        <v>99.883578836118645</v>
      </c>
      <c r="O1174" s="7"/>
      <c r="P1174" s="7"/>
      <c r="Q1174" s="7"/>
      <c r="R1174" s="7"/>
      <c r="S1174" s="7"/>
      <c r="T1174" s="7"/>
      <c r="U1174" s="7"/>
      <c r="V1174" s="7"/>
      <c r="W1174" s="7"/>
      <c r="X1174" s="7"/>
    </row>
    <row r="1175" spans="1:24" s="9" customFormat="1" ht="94.5" x14ac:dyDescent="0.2">
      <c r="A1175" s="85"/>
      <c r="B1175" s="56" t="s">
        <v>406</v>
      </c>
      <c r="C1175" s="62">
        <v>953</v>
      </c>
      <c r="D1175" s="61" t="s">
        <v>21</v>
      </c>
      <c r="E1175" s="61" t="s">
        <v>6</v>
      </c>
      <c r="F1175" s="8" t="s">
        <v>21</v>
      </c>
      <c r="G1175" s="8" t="s">
        <v>156</v>
      </c>
      <c r="H1175" s="8" t="s">
        <v>2</v>
      </c>
      <c r="I1175" s="8" t="s">
        <v>405</v>
      </c>
      <c r="J1175" s="40" t="s">
        <v>557</v>
      </c>
      <c r="K1175" s="12">
        <f>K1176</f>
        <v>68.600000000000023</v>
      </c>
      <c r="L1175" s="12">
        <f>L1176</f>
        <v>67.2</v>
      </c>
      <c r="M1175" s="12">
        <f t="shared" si="145"/>
        <v>97.959183673469369</v>
      </c>
      <c r="O1175" s="7"/>
      <c r="P1175" s="7"/>
      <c r="Q1175" s="7"/>
      <c r="R1175" s="7"/>
      <c r="S1175" s="7"/>
      <c r="T1175" s="7"/>
      <c r="U1175" s="7"/>
      <c r="V1175" s="7"/>
      <c r="W1175" s="7"/>
      <c r="X1175" s="7"/>
    </row>
    <row r="1176" spans="1:24" s="9" customFormat="1" ht="18" customHeight="1" x14ac:dyDescent="0.2">
      <c r="A1176" s="85"/>
      <c r="B1176" s="19" t="s">
        <v>65</v>
      </c>
      <c r="C1176" s="62">
        <v>953</v>
      </c>
      <c r="D1176" s="61" t="s">
        <v>21</v>
      </c>
      <c r="E1176" s="61" t="s">
        <v>6</v>
      </c>
      <c r="F1176" s="8" t="s">
        <v>21</v>
      </c>
      <c r="G1176" s="8" t="s">
        <v>156</v>
      </c>
      <c r="H1176" s="8" t="s">
        <v>2</v>
      </c>
      <c r="I1176" s="8" t="s">
        <v>405</v>
      </c>
      <c r="J1176" s="8" t="s">
        <v>66</v>
      </c>
      <c r="K1176" s="12">
        <f>202.9-39.3-95</f>
        <v>68.600000000000023</v>
      </c>
      <c r="L1176" s="12">
        <v>67.2</v>
      </c>
      <c r="M1176" s="12">
        <f t="shared" si="145"/>
        <v>97.959183673469369</v>
      </c>
      <c r="O1176" s="7"/>
      <c r="P1176" s="7"/>
      <c r="Q1176" s="7"/>
      <c r="R1176" s="7"/>
      <c r="S1176" s="7"/>
      <c r="T1176" s="7"/>
      <c r="U1176" s="7"/>
      <c r="V1176" s="7"/>
      <c r="W1176" s="7"/>
      <c r="X1176" s="7"/>
    </row>
    <row r="1177" spans="1:24" s="9" customFormat="1" ht="222" customHeight="1" x14ac:dyDescent="0.2">
      <c r="A1177" s="85"/>
      <c r="B1177" s="19" t="s">
        <v>440</v>
      </c>
      <c r="C1177" s="62">
        <v>953</v>
      </c>
      <c r="D1177" s="61" t="s">
        <v>21</v>
      </c>
      <c r="E1177" s="61" t="s">
        <v>6</v>
      </c>
      <c r="F1177" s="8" t="s">
        <v>21</v>
      </c>
      <c r="G1177" s="63">
        <v>2</v>
      </c>
      <c r="H1177" s="8" t="s">
        <v>2</v>
      </c>
      <c r="I1177" s="8" t="s">
        <v>441</v>
      </c>
      <c r="J1177" s="40" t="s">
        <v>557</v>
      </c>
      <c r="K1177" s="12">
        <f>SUM(K1178)</f>
        <v>66</v>
      </c>
      <c r="L1177" s="12">
        <f>SUM(L1178)</f>
        <v>66</v>
      </c>
      <c r="M1177" s="12">
        <f t="shared" si="145"/>
        <v>100</v>
      </c>
      <c r="O1177" s="7"/>
      <c r="P1177" s="7"/>
      <c r="Q1177" s="7"/>
      <c r="R1177" s="7"/>
      <c r="S1177" s="7"/>
      <c r="T1177" s="7"/>
      <c r="U1177" s="7"/>
      <c r="V1177" s="7"/>
      <c r="W1177" s="7"/>
      <c r="X1177" s="7"/>
    </row>
    <row r="1178" spans="1:24" s="9" customFormat="1" ht="15.75" customHeight="1" x14ac:dyDescent="0.2">
      <c r="A1178" s="85"/>
      <c r="B1178" s="24" t="s">
        <v>65</v>
      </c>
      <c r="C1178" s="62">
        <v>953</v>
      </c>
      <c r="D1178" s="61" t="s">
        <v>21</v>
      </c>
      <c r="E1178" s="61" t="s">
        <v>6</v>
      </c>
      <c r="F1178" s="8" t="s">
        <v>21</v>
      </c>
      <c r="G1178" s="63">
        <v>2</v>
      </c>
      <c r="H1178" s="8" t="s">
        <v>2</v>
      </c>
      <c r="I1178" s="8" t="s">
        <v>441</v>
      </c>
      <c r="J1178" s="8" t="s">
        <v>66</v>
      </c>
      <c r="K1178" s="12">
        <v>66</v>
      </c>
      <c r="L1178" s="12">
        <v>66</v>
      </c>
      <c r="M1178" s="12">
        <f t="shared" si="145"/>
        <v>100</v>
      </c>
      <c r="O1178" s="7"/>
      <c r="P1178" s="7"/>
      <c r="Q1178" s="7"/>
      <c r="R1178" s="7"/>
      <c r="S1178" s="7"/>
      <c r="T1178" s="7"/>
      <c r="U1178" s="7"/>
      <c r="V1178" s="7"/>
      <c r="W1178" s="7"/>
      <c r="X1178" s="7"/>
    </row>
    <row r="1179" spans="1:24" s="9" customFormat="1" ht="146.25" customHeight="1" x14ac:dyDescent="0.2">
      <c r="A1179" s="85"/>
      <c r="B1179" s="56" t="s">
        <v>408</v>
      </c>
      <c r="C1179" s="62">
        <v>953</v>
      </c>
      <c r="D1179" s="61" t="s">
        <v>21</v>
      </c>
      <c r="E1179" s="61" t="s">
        <v>6</v>
      </c>
      <c r="F1179" s="8" t="s">
        <v>21</v>
      </c>
      <c r="G1179" s="8" t="s">
        <v>156</v>
      </c>
      <c r="H1179" s="8" t="s">
        <v>2</v>
      </c>
      <c r="I1179" s="8" t="s">
        <v>407</v>
      </c>
      <c r="J1179" s="40" t="s">
        <v>557</v>
      </c>
      <c r="K1179" s="12">
        <f>K1180</f>
        <v>5.2</v>
      </c>
      <c r="L1179" s="12">
        <f>L1180</f>
        <v>5.2</v>
      </c>
      <c r="M1179" s="12">
        <f t="shared" si="145"/>
        <v>100</v>
      </c>
      <c r="O1179" s="7"/>
      <c r="P1179" s="7"/>
      <c r="Q1179" s="7"/>
      <c r="R1179" s="7"/>
      <c r="S1179" s="7"/>
      <c r="T1179" s="7"/>
      <c r="U1179" s="7"/>
      <c r="V1179" s="7"/>
      <c r="W1179" s="7"/>
      <c r="X1179" s="7"/>
    </row>
    <row r="1180" spans="1:24" s="9" customFormat="1" ht="19.5" customHeight="1" x14ac:dyDescent="0.2">
      <c r="A1180" s="85"/>
      <c r="B1180" s="19" t="s">
        <v>65</v>
      </c>
      <c r="C1180" s="62">
        <v>953</v>
      </c>
      <c r="D1180" s="61" t="s">
        <v>21</v>
      </c>
      <c r="E1180" s="61" t="s">
        <v>6</v>
      </c>
      <c r="F1180" s="8" t="s">
        <v>21</v>
      </c>
      <c r="G1180" s="8" t="s">
        <v>156</v>
      </c>
      <c r="H1180" s="8" t="s">
        <v>2</v>
      </c>
      <c r="I1180" s="8" t="s">
        <v>407</v>
      </c>
      <c r="J1180" s="8" t="s">
        <v>66</v>
      </c>
      <c r="K1180" s="12">
        <v>5.2</v>
      </c>
      <c r="L1180" s="12">
        <v>5.2</v>
      </c>
      <c r="M1180" s="12">
        <f t="shared" si="145"/>
        <v>100</v>
      </c>
      <c r="O1180" s="7"/>
      <c r="P1180" s="7"/>
      <c r="Q1180" s="7"/>
      <c r="R1180" s="7"/>
      <c r="S1180" s="7"/>
      <c r="T1180" s="7"/>
      <c r="U1180" s="7"/>
      <c r="V1180" s="7"/>
      <c r="W1180" s="7"/>
      <c r="X1180" s="7"/>
    </row>
    <row r="1181" spans="1:24" s="9" customFormat="1" ht="15.75" customHeight="1" x14ac:dyDescent="0.2">
      <c r="A1181" s="85"/>
      <c r="B1181" s="19" t="s">
        <v>76</v>
      </c>
      <c r="C1181" s="62">
        <v>953</v>
      </c>
      <c r="D1181" s="61" t="s">
        <v>21</v>
      </c>
      <c r="E1181" s="61" t="s">
        <v>30</v>
      </c>
      <c r="F1181" s="5" t="s">
        <v>557</v>
      </c>
      <c r="G1181" s="40" t="s">
        <v>557</v>
      </c>
      <c r="H1181" s="5" t="s">
        <v>557</v>
      </c>
      <c r="I1181" s="5" t="s">
        <v>557</v>
      </c>
      <c r="J1181" s="40" t="s">
        <v>557</v>
      </c>
      <c r="K1181" s="12">
        <f t="shared" ref="K1181:L1183" si="147">SUM(K1182)</f>
        <v>12664.2</v>
      </c>
      <c r="L1181" s="12">
        <f t="shared" si="147"/>
        <v>11570.6</v>
      </c>
      <c r="M1181" s="12">
        <f t="shared" si="145"/>
        <v>91.364634165600663</v>
      </c>
      <c r="O1181" s="7"/>
      <c r="P1181" s="7"/>
      <c r="Q1181" s="7"/>
      <c r="R1181" s="7"/>
      <c r="S1181" s="7"/>
      <c r="T1181" s="7"/>
      <c r="U1181" s="7"/>
      <c r="V1181" s="7"/>
      <c r="W1181" s="7"/>
      <c r="X1181" s="7"/>
    </row>
    <row r="1182" spans="1:24" s="9" customFormat="1" ht="45" customHeight="1" x14ac:dyDescent="0.2">
      <c r="A1182" s="85"/>
      <c r="B1182" s="19" t="s">
        <v>280</v>
      </c>
      <c r="C1182" s="62">
        <v>953</v>
      </c>
      <c r="D1182" s="61" t="s">
        <v>21</v>
      </c>
      <c r="E1182" s="61" t="s">
        <v>30</v>
      </c>
      <c r="F1182" s="61" t="s">
        <v>21</v>
      </c>
      <c r="G1182" s="40" t="s">
        <v>557</v>
      </c>
      <c r="H1182" s="5" t="s">
        <v>557</v>
      </c>
      <c r="I1182" s="5" t="s">
        <v>557</v>
      </c>
      <c r="J1182" s="40" t="s">
        <v>557</v>
      </c>
      <c r="K1182" s="12">
        <f t="shared" si="147"/>
        <v>12664.2</v>
      </c>
      <c r="L1182" s="12">
        <f t="shared" si="147"/>
        <v>11570.6</v>
      </c>
      <c r="M1182" s="12">
        <f t="shared" si="145"/>
        <v>91.364634165600663</v>
      </c>
      <c r="O1182" s="7"/>
      <c r="P1182" s="7"/>
      <c r="Q1182" s="7"/>
      <c r="R1182" s="7"/>
      <c r="S1182" s="7"/>
      <c r="T1182" s="7"/>
      <c r="U1182" s="7"/>
      <c r="V1182" s="7"/>
      <c r="W1182" s="7"/>
      <c r="X1182" s="7"/>
    </row>
    <row r="1183" spans="1:24" s="9" customFormat="1" ht="19.149999999999999" customHeight="1" x14ac:dyDescent="0.2">
      <c r="A1183" s="85"/>
      <c r="B1183" s="19" t="s">
        <v>281</v>
      </c>
      <c r="C1183" s="62">
        <v>953</v>
      </c>
      <c r="D1183" s="61" t="s">
        <v>21</v>
      </c>
      <c r="E1183" s="61" t="s">
        <v>30</v>
      </c>
      <c r="F1183" s="61" t="s">
        <v>21</v>
      </c>
      <c r="G1183" s="62">
        <v>2</v>
      </c>
      <c r="H1183" s="5" t="s">
        <v>557</v>
      </c>
      <c r="I1183" s="5" t="s">
        <v>557</v>
      </c>
      <c r="J1183" s="40" t="s">
        <v>557</v>
      </c>
      <c r="K1183" s="12">
        <f t="shared" si="147"/>
        <v>12664.2</v>
      </c>
      <c r="L1183" s="12">
        <f t="shared" si="147"/>
        <v>11570.6</v>
      </c>
      <c r="M1183" s="12">
        <f t="shared" si="145"/>
        <v>91.364634165600663</v>
      </c>
      <c r="O1183" s="7"/>
      <c r="P1183" s="7"/>
      <c r="Q1183" s="7"/>
      <c r="R1183" s="7"/>
      <c r="S1183" s="7"/>
      <c r="T1183" s="7"/>
      <c r="U1183" s="7"/>
      <c r="V1183" s="7"/>
      <c r="W1183" s="7"/>
      <c r="X1183" s="7"/>
    </row>
    <row r="1184" spans="1:24" s="9" customFormat="1" ht="18" customHeight="1" x14ac:dyDescent="0.2">
      <c r="A1184" s="85"/>
      <c r="B1184" s="19" t="s">
        <v>161</v>
      </c>
      <c r="C1184" s="62">
        <v>953</v>
      </c>
      <c r="D1184" s="61" t="s">
        <v>21</v>
      </c>
      <c r="E1184" s="61" t="s">
        <v>30</v>
      </c>
      <c r="F1184" s="61" t="s">
        <v>21</v>
      </c>
      <c r="G1184" s="62">
        <v>2</v>
      </c>
      <c r="H1184" s="61" t="s">
        <v>2</v>
      </c>
      <c r="I1184" s="5" t="s">
        <v>557</v>
      </c>
      <c r="J1184" s="40" t="s">
        <v>557</v>
      </c>
      <c r="K1184" s="12">
        <f>SUM(K1195+K1192+K1189+K1185+K1187)</f>
        <v>12664.2</v>
      </c>
      <c r="L1184" s="12">
        <f>SUM(L1195+L1192+L1189+L1185+L1187)</f>
        <v>11570.6</v>
      </c>
      <c r="M1184" s="12">
        <f t="shared" si="145"/>
        <v>91.364634165600663</v>
      </c>
      <c r="O1184" s="7"/>
      <c r="P1184" s="7"/>
      <c r="Q1184" s="7"/>
      <c r="R1184" s="7"/>
      <c r="S1184" s="7"/>
      <c r="T1184" s="7"/>
      <c r="U1184" s="7"/>
      <c r="V1184" s="7"/>
      <c r="W1184" s="7"/>
      <c r="X1184" s="7"/>
    </row>
    <row r="1185" spans="1:24" s="9" customFormat="1" ht="78.75" x14ac:dyDescent="0.2">
      <c r="A1185" s="85"/>
      <c r="B1185" s="41" t="s">
        <v>547</v>
      </c>
      <c r="C1185" s="62">
        <v>953</v>
      </c>
      <c r="D1185" s="61" t="s">
        <v>21</v>
      </c>
      <c r="E1185" s="61" t="s">
        <v>30</v>
      </c>
      <c r="F1185" s="8" t="s">
        <v>21</v>
      </c>
      <c r="G1185" s="8" t="s">
        <v>156</v>
      </c>
      <c r="H1185" s="8" t="s">
        <v>2</v>
      </c>
      <c r="I1185" s="8" t="s">
        <v>545</v>
      </c>
      <c r="J1185" s="40" t="s">
        <v>557</v>
      </c>
      <c r="K1185" s="12">
        <f>K1186</f>
        <v>143.69999999999999</v>
      </c>
      <c r="L1185" s="12">
        <f>L1186</f>
        <v>143.69999999999999</v>
      </c>
      <c r="M1185" s="12">
        <f t="shared" si="145"/>
        <v>100</v>
      </c>
      <c r="O1185" s="7"/>
      <c r="P1185" s="7"/>
      <c r="Q1185" s="7"/>
      <c r="R1185" s="7"/>
      <c r="S1185" s="7"/>
      <c r="T1185" s="7"/>
      <c r="U1185" s="7"/>
      <c r="V1185" s="7"/>
      <c r="W1185" s="7"/>
      <c r="X1185" s="7"/>
    </row>
    <row r="1186" spans="1:24" s="9" customFormat="1" ht="49.5" customHeight="1" x14ac:dyDescent="0.2">
      <c r="A1186" s="85"/>
      <c r="B1186" s="41" t="s">
        <v>54</v>
      </c>
      <c r="C1186" s="62">
        <v>953</v>
      </c>
      <c r="D1186" s="61" t="s">
        <v>21</v>
      </c>
      <c r="E1186" s="61" t="s">
        <v>30</v>
      </c>
      <c r="F1186" s="8" t="s">
        <v>21</v>
      </c>
      <c r="G1186" s="8" t="s">
        <v>156</v>
      </c>
      <c r="H1186" s="8" t="s">
        <v>2</v>
      </c>
      <c r="I1186" s="8" t="s">
        <v>545</v>
      </c>
      <c r="J1186" s="8" t="s">
        <v>55</v>
      </c>
      <c r="K1186" s="12">
        <v>143.69999999999999</v>
      </c>
      <c r="L1186" s="12">
        <v>143.69999999999999</v>
      </c>
      <c r="M1186" s="12">
        <f t="shared" si="145"/>
        <v>100</v>
      </c>
      <c r="O1186" s="7"/>
      <c r="P1186" s="7"/>
      <c r="Q1186" s="7"/>
      <c r="R1186" s="7"/>
      <c r="S1186" s="7"/>
      <c r="T1186" s="7"/>
      <c r="U1186" s="7"/>
      <c r="V1186" s="7"/>
      <c r="W1186" s="7"/>
      <c r="X1186" s="7"/>
    </row>
    <row r="1187" spans="1:24" s="9" customFormat="1" ht="64.5" customHeight="1" x14ac:dyDescent="0.2">
      <c r="A1187" s="85"/>
      <c r="B1187" s="41" t="s">
        <v>553</v>
      </c>
      <c r="C1187" s="62">
        <v>953</v>
      </c>
      <c r="D1187" s="61" t="s">
        <v>21</v>
      </c>
      <c r="E1187" s="61" t="s">
        <v>30</v>
      </c>
      <c r="F1187" s="8" t="s">
        <v>21</v>
      </c>
      <c r="G1187" s="8" t="s">
        <v>156</v>
      </c>
      <c r="H1187" s="8" t="s">
        <v>2</v>
      </c>
      <c r="I1187" s="8" t="s">
        <v>546</v>
      </c>
      <c r="J1187" s="40" t="s">
        <v>557</v>
      </c>
      <c r="K1187" s="12">
        <f>K1188</f>
        <v>670.7</v>
      </c>
      <c r="L1187" s="12">
        <f>L1188</f>
        <v>663.5</v>
      </c>
      <c r="M1187" s="12">
        <f t="shared" si="145"/>
        <v>98.926494707022499</v>
      </c>
      <c r="O1187" s="7"/>
      <c r="P1187" s="7"/>
      <c r="Q1187" s="7"/>
      <c r="R1187" s="7"/>
      <c r="S1187" s="7"/>
      <c r="T1187" s="7"/>
      <c r="U1187" s="7"/>
      <c r="V1187" s="7"/>
      <c r="W1187" s="7"/>
      <c r="X1187" s="7"/>
    </row>
    <row r="1188" spans="1:24" s="9" customFormat="1" ht="48" customHeight="1" x14ac:dyDescent="0.2">
      <c r="A1188" s="85"/>
      <c r="B1188" s="41" t="s">
        <v>54</v>
      </c>
      <c r="C1188" s="62">
        <v>953</v>
      </c>
      <c r="D1188" s="61" t="s">
        <v>21</v>
      </c>
      <c r="E1188" s="61" t="s">
        <v>30</v>
      </c>
      <c r="F1188" s="8" t="s">
        <v>21</v>
      </c>
      <c r="G1188" s="8" t="s">
        <v>156</v>
      </c>
      <c r="H1188" s="8" t="s">
        <v>2</v>
      </c>
      <c r="I1188" s="8" t="s">
        <v>546</v>
      </c>
      <c r="J1188" s="8" t="s">
        <v>55</v>
      </c>
      <c r="K1188" s="12">
        <v>670.7</v>
      </c>
      <c r="L1188" s="12">
        <v>663.5</v>
      </c>
      <c r="M1188" s="12">
        <f t="shared" si="145"/>
        <v>98.926494707022499</v>
      </c>
      <c r="O1188" s="7"/>
      <c r="P1188" s="7"/>
      <c r="Q1188" s="7"/>
      <c r="R1188" s="7"/>
      <c r="S1188" s="7"/>
      <c r="T1188" s="7"/>
      <c r="U1188" s="7"/>
      <c r="V1188" s="7"/>
      <c r="W1188" s="7"/>
      <c r="X1188" s="7"/>
    </row>
    <row r="1189" spans="1:24" s="9" customFormat="1" ht="204" customHeight="1" x14ac:dyDescent="0.2">
      <c r="A1189" s="85"/>
      <c r="B1189" s="20" t="s">
        <v>328</v>
      </c>
      <c r="C1189" s="62">
        <v>953</v>
      </c>
      <c r="D1189" s="61" t="s">
        <v>21</v>
      </c>
      <c r="E1189" s="61" t="s">
        <v>30</v>
      </c>
      <c r="F1189" s="61" t="s">
        <v>21</v>
      </c>
      <c r="G1189" s="62">
        <v>2</v>
      </c>
      <c r="H1189" s="61" t="s">
        <v>2</v>
      </c>
      <c r="I1189" s="61" t="s">
        <v>394</v>
      </c>
      <c r="J1189" s="40" t="s">
        <v>557</v>
      </c>
      <c r="K1189" s="12">
        <f>SUM(K1190:K1191)</f>
        <v>1025.8</v>
      </c>
      <c r="L1189" s="12">
        <f>SUM(L1190:L1191)</f>
        <v>43.6</v>
      </c>
      <c r="M1189" s="12">
        <f t="shared" si="145"/>
        <v>4.2503411971144471</v>
      </c>
      <c r="O1189" s="7"/>
      <c r="P1189" s="7"/>
      <c r="Q1189" s="7"/>
      <c r="R1189" s="7"/>
      <c r="S1189" s="7"/>
      <c r="T1189" s="7"/>
      <c r="U1189" s="7"/>
      <c r="V1189" s="7"/>
      <c r="W1189" s="7"/>
      <c r="X1189" s="7"/>
    </row>
    <row r="1190" spans="1:24" s="9" customFormat="1" ht="78.75" x14ac:dyDescent="0.2">
      <c r="A1190" s="85"/>
      <c r="B1190" s="19" t="s">
        <v>163</v>
      </c>
      <c r="C1190" s="62">
        <v>953</v>
      </c>
      <c r="D1190" s="61" t="s">
        <v>21</v>
      </c>
      <c r="E1190" s="61" t="s">
        <v>30</v>
      </c>
      <c r="F1190" s="61" t="s">
        <v>21</v>
      </c>
      <c r="G1190" s="62">
        <v>2</v>
      </c>
      <c r="H1190" s="61" t="s">
        <v>2</v>
      </c>
      <c r="I1190" s="61" t="s">
        <v>394</v>
      </c>
      <c r="J1190" s="8" t="s">
        <v>55</v>
      </c>
      <c r="K1190" s="12">
        <v>935.8</v>
      </c>
      <c r="L1190" s="12">
        <v>35.5</v>
      </c>
      <c r="M1190" s="12">
        <f t="shared" si="145"/>
        <v>3.7935456294079932</v>
      </c>
      <c r="O1190" s="7"/>
      <c r="P1190" s="7"/>
      <c r="Q1190" s="7"/>
      <c r="R1190" s="7"/>
      <c r="S1190" s="7"/>
      <c r="T1190" s="7"/>
      <c r="U1190" s="7"/>
      <c r="V1190" s="7"/>
      <c r="W1190" s="7"/>
      <c r="X1190" s="7"/>
    </row>
    <row r="1191" spans="1:24" s="9" customFormat="1" ht="31.5" x14ac:dyDescent="0.2">
      <c r="A1191" s="85"/>
      <c r="B1191" s="19" t="s">
        <v>164</v>
      </c>
      <c r="C1191" s="62">
        <v>953</v>
      </c>
      <c r="D1191" s="61" t="s">
        <v>21</v>
      </c>
      <c r="E1191" s="61" t="s">
        <v>30</v>
      </c>
      <c r="F1191" s="61" t="s">
        <v>21</v>
      </c>
      <c r="G1191" s="62">
        <v>2</v>
      </c>
      <c r="H1191" s="61" t="s">
        <v>2</v>
      </c>
      <c r="I1191" s="61" t="s">
        <v>394</v>
      </c>
      <c r="J1191" s="8" t="s">
        <v>57</v>
      </c>
      <c r="K1191" s="12">
        <v>90</v>
      </c>
      <c r="L1191" s="12">
        <v>8.1</v>
      </c>
      <c r="M1191" s="12">
        <f t="shared" si="145"/>
        <v>9</v>
      </c>
      <c r="O1191" s="7"/>
      <c r="P1191" s="7"/>
      <c r="Q1191" s="7"/>
      <c r="R1191" s="7"/>
      <c r="S1191" s="7"/>
      <c r="T1191" s="7"/>
      <c r="U1191" s="7"/>
      <c r="V1191" s="7"/>
      <c r="W1191" s="7"/>
      <c r="X1191" s="7"/>
    </row>
    <row r="1192" spans="1:24" ht="78.75" x14ac:dyDescent="0.2">
      <c r="A1192" s="85"/>
      <c r="B1192" s="41" t="s">
        <v>393</v>
      </c>
      <c r="C1192" s="62">
        <v>953</v>
      </c>
      <c r="D1192" s="61" t="s">
        <v>21</v>
      </c>
      <c r="E1192" s="61" t="s">
        <v>30</v>
      </c>
      <c r="F1192" s="61" t="s">
        <v>21</v>
      </c>
      <c r="G1192" s="62">
        <v>2</v>
      </c>
      <c r="H1192" s="61" t="s">
        <v>2</v>
      </c>
      <c r="I1192" s="61" t="s">
        <v>392</v>
      </c>
      <c r="J1192" s="40" t="s">
        <v>557</v>
      </c>
      <c r="K1192" s="12">
        <f>SUM(K1193:K1194)</f>
        <v>756</v>
      </c>
      <c r="L1192" s="12">
        <f>SUM(L1193:L1194)</f>
        <v>749.1</v>
      </c>
      <c r="M1192" s="12">
        <f t="shared" si="145"/>
        <v>99.087301587301596</v>
      </c>
      <c r="N1192" s="79"/>
      <c r="O1192" s="80"/>
      <c r="P1192" s="80"/>
      <c r="Q1192" s="80"/>
    </row>
    <row r="1193" spans="1:24" ht="78.75" x14ac:dyDescent="0.2">
      <c r="A1193" s="85"/>
      <c r="B1193" s="19" t="s">
        <v>163</v>
      </c>
      <c r="C1193" s="62">
        <v>953</v>
      </c>
      <c r="D1193" s="61" t="s">
        <v>21</v>
      </c>
      <c r="E1193" s="61" t="s">
        <v>30</v>
      </c>
      <c r="F1193" s="61" t="s">
        <v>21</v>
      </c>
      <c r="G1193" s="62">
        <v>2</v>
      </c>
      <c r="H1193" s="61" t="s">
        <v>2</v>
      </c>
      <c r="I1193" s="61" t="s">
        <v>392</v>
      </c>
      <c r="J1193" s="8" t="s">
        <v>55</v>
      </c>
      <c r="K1193" s="12">
        <f>660+77.6</f>
        <v>737.6</v>
      </c>
      <c r="L1193" s="12">
        <f>660+77.6</f>
        <v>737.6</v>
      </c>
      <c r="M1193" s="12">
        <f t="shared" si="145"/>
        <v>100</v>
      </c>
    </row>
    <row r="1194" spans="1:24" ht="37.15" customHeight="1" x14ac:dyDescent="0.2">
      <c r="A1194" s="85"/>
      <c r="B1194" s="19" t="s">
        <v>164</v>
      </c>
      <c r="C1194" s="62">
        <v>953</v>
      </c>
      <c r="D1194" s="61" t="s">
        <v>21</v>
      </c>
      <c r="E1194" s="61" t="s">
        <v>30</v>
      </c>
      <c r="F1194" s="61" t="s">
        <v>21</v>
      </c>
      <c r="G1194" s="62">
        <v>2</v>
      </c>
      <c r="H1194" s="61" t="s">
        <v>2</v>
      </c>
      <c r="I1194" s="61" t="s">
        <v>392</v>
      </c>
      <c r="J1194" s="8" t="s">
        <v>57</v>
      </c>
      <c r="K1194" s="12">
        <f>96-77.6</f>
        <v>18.400000000000006</v>
      </c>
      <c r="L1194" s="12">
        <v>11.5</v>
      </c>
      <c r="M1194" s="12">
        <f t="shared" si="145"/>
        <v>62.499999999999979</v>
      </c>
    </row>
    <row r="1195" spans="1:24" ht="63" customHeight="1" x14ac:dyDescent="0.2">
      <c r="A1195" s="85"/>
      <c r="B1195" s="19" t="s">
        <v>327</v>
      </c>
      <c r="C1195" s="62">
        <v>953</v>
      </c>
      <c r="D1195" s="61" t="s">
        <v>21</v>
      </c>
      <c r="E1195" s="61" t="s">
        <v>30</v>
      </c>
      <c r="F1195" s="61" t="s">
        <v>21</v>
      </c>
      <c r="G1195" s="62">
        <v>2</v>
      </c>
      <c r="H1195" s="61" t="s">
        <v>2</v>
      </c>
      <c r="I1195" s="61" t="s">
        <v>391</v>
      </c>
      <c r="J1195" s="40" t="s">
        <v>557</v>
      </c>
      <c r="K1195" s="12">
        <f>SUM(K1196:K1197)</f>
        <v>10068</v>
      </c>
      <c r="L1195" s="12">
        <f>SUM(L1196:L1197)</f>
        <v>9970.6999999999989</v>
      </c>
      <c r="M1195" s="12">
        <f t="shared" si="145"/>
        <v>99.033571712355979</v>
      </c>
    </row>
    <row r="1196" spans="1:24" ht="78.75" x14ac:dyDescent="0.2">
      <c r="A1196" s="85"/>
      <c r="B1196" s="19" t="s">
        <v>163</v>
      </c>
      <c r="C1196" s="62">
        <v>953</v>
      </c>
      <c r="D1196" s="61" t="s">
        <v>21</v>
      </c>
      <c r="E1196" s="61" t="s">
        <v>30</v>
      </c>
      <c r="F1196" s="61" t="s">
        <v>21</v>
      </c>
      <c r="G1196" s="62">
        <v>2</v>
      </c>
      <c r="H1196" s="61" t="s">
        <v>2</v>
      </c>
      <c r="I1196" s="61" t="s">
        <v>391</v>
      </c>
      <c r="J1196" s="8" t="s">
        <v>55</v>
      </c>
      <c r="K1196" s="12">
        <f>9338+161.4</f>
        <v>9499.4</v>
      </c>
      <c r="L1196" s="12">
        <f>9338+161.4</f>
        <v>9499.4</v>
      </c>
      <c r="M1196" s="12">
        <f t="shared" si="145"/>
        <v>100</v>
      </c>
    </row>
    <row r="1197" spans="1:24" ht="31.9" customHeight="1" x14ac:dyDescent="0.2">
      <c r="A1197" s="85"/>
      <c r="B1197" s="19" t="s">
        <v>164</v>
      </c>
      <c r="C1197" s="62">
        <v>953</v>
      </c>
      <c r="D1197" s="61" t="s">
        <v>21</v>
      </c>
      <c r="E1197" s="61" t="s">
        <v>30</v>
      </c>
      <c r="F1197" s="61" t="s">
        <v>21</v>
      </c>
      <c r="G1197" s="62">
        <v>2</v>
      </c>
      <c r="H1197" s="61" t="s">
        <v>2</v>
      </c>
      <c r="I1197" s="61" t="s">
        <v>391</v>
      </c>
      <c r="J1197" s="8" t="s">
        <v>57</v>
      </c>
      <c r="K1197" s="12">
        <f>730-161.4</f>
        <v>568.6</v>
      </c>
      <c r="L1197" s="12">
        <v>471.3</v>
      </c>
      <c r="M1197" s="12">
        <f t="shared" si="145"/>
        <v>82.887794583186775</v>
      </c>
    </row>
    <row r="1198" spans="1:24" ht="18.75" x14ac:dyDescent="0.2">
      <c r="A1198" s="17"/>
      <c r="D1198" s="17"/>
      <c r="K1198" s="27"/>
      <c r="M1198" s="27"/>
    </row>
    <row r="1199" spans="1:24" ht="17.25" customHeight="1" x14ac:dyDescent="0.3">
      <c r="A1199" s="17"/>
      <c r="K1199" s="13"/>
      <c r="M1199" s="13"/>
    </row>
    <row r="1200" spans="1:24" ht="15" customHeight="1" x14ac:dyDescent="0.3">
      <c r="A1200" s="76" t="s">
        <v>515</v>
      </c>
      <c r="B1200" s="77"/>
      <c r="C1200" s="4"/>
      <c r="F1200" s="15"/>
      <c r="G1200" s="57"/>
      <c r="H1200" s="58"/>
      <c r="I1200" s="58"/>
      <c r="J1200" s="58"/>
      <c r="K1200" s="15"/>
      <c r="M1200" s="15"/>
    </row>
    <row r="1201" spans="1:24" ht="18" customHeight="1" x14ac:dyDescent="0.3">
      <c r="A1201" s="76" t="s">
        <v>494</v>
      </c>
      <c r="B1201" s="77"/>
      <c r="D1201" s="3"/>
    </row>
    <row r="1202" spans="1:24" ht="17.25" customHeight="1" x14ac:dyDescent="0.3">
      <c r="A1202" s="76" t="s">
        <v>495</v>
      </c>
      <c r="B1202" s="77"/>
      <c r="M1202" s="30" t="s">
        <v>516</v>
      </c>
      <c r="N1202" s="29"/>
    </row>
    <row r="1203" spans="1:24" x14ac:dyDescent="0.2">
      <c r="A1203" s="17"/>
    </row>
    <row r="1204" spans="1:24" ht="36" customHeight="1" x14ac:dyDescent="0.2">
      <c r="A1204" s="17"/>
    </row>
    <row r="1205" spans="1:24" ht="16.149999999999999" customHeight="1" x14ac:dyDescent="0.2">
      <c r="A1205" s="17"/>
    </row>
    <row r="1206" spans="1:24" ht="61.9" customHeight="1" x14ac:dyDescent="0.2">
      <c r="A1206" s="17"/>
    </row>
    <row r="1207" spans="1:24" s="1" customFormat="1" ht="15" customHeight="1" x14ac:dyDescent="0.2">
      <c r="A1207" s="17"/>
      <c r="B1207" s="18"/>
      <c r="D1207" s="2"/>
      <c r="E1207" s="2"/>
      <c r="F1207" s="2"/>
      <c r="H1207" s="2"/>
      <c r="I1207" s="2"/>
      <c r="J1207" s="2"/>
      <c r="N1207" s="9"/>
      <c r="O1207" s="7"/>
      <c r="P1207" s="7"/>
      <c r="Q1207" s="7"/>
      <c r="R1207" s="7"/>
      <c r="S1207" s="7"/>
      <c r="T1207" s="7"/>
      <c r="U1207" s="7"/>
      <c r="V1207" s="7"/>
      <c r="W1207" s="7"/>
      <c r="X1207" s="7"/>
    </row>
    <row r="1208" spans="1:24" s="1" customFormat="1" ht="96.6" customHeight="1" x14ac:dyDescent="0.2">
      <c r="A1208" s="17"/>
      <c r="B1208" s="18"/>
      <c r="D1208" s="2"/>
      <c r="E1208" s="2"/>
      <c r="F1208" s="2"/>
      <c r="H1208" s="2"/>
      <c r="I1208" s="2"/>
      <c r="J1208" s="2"/>
      <c r="N1208" s="9"/>
      <c r="O1208" s="7"/>
      <c r="P1208" s="7"/>
      <c r="Q1208" s="7"/>
      <c r="R1208" s="7"/>
      <c r="S1208" s="7"/>
      <c r="T1208" s="7"/>
      <c r="U1208" s="7"/>
      <c r="V1208" s="7"/>
      <c r="W1208" s="7"/>
      <c r="X1208" s="7"/>
    </row>
    <row r="1209" spans="1:24" s="1" customFormat="1" x14ac:dyDescent="0.2">
      <c r="A1209" s="17"/>
      <c r="B1209" s="18"/>
      <c r="D1209" s="2"/>
      <c r="F1209" s="2"/>
      <c r="H1209" s="2"/>
      <c r="I1209" s="2"/>
      <c r="N1209" s="9"/>
      <c r="O1209" s="7"/>
      <c r="P1209" s="7"/>
      <c r="Q1209" s="7"/>
      <c r="R1209" s="7"/>
      <c r="S1209" s="7"/>
      <c r="T1209" s="7"/>
      <c r="U1209" s="7"/>
      <c r="V1209" s="7"/>
      <c r="W1209" s="7"/>
      <c r="X1209" s="7"/>
    </row>
    <row r="1210" spans="1:24" s="1" customFormat="1" x14ac:dyDescent="0.2">
      <c r="A1210" s="17"/>
      <c r="B1210" s="18"/>
      <c r="F1210" s="2"/>
      <c r="H1210" s="2"/>
      <c r="I1210" s="2"/>
      <c r="N1210" s="9"/>
      <c r="O1210" s="7"/>
      <c r="P1210" s="7"/>
      <c r="Q1210" s="7"/>
      <c r="R1210" s="7"/>
      <c r="S1210" s="7"/>
      <c r="T1210" s="7"/>
      <c r="U1210" s="7"/>
      <c r="V1210" s="7"/>
      <c r="W1210" s="7"/>
      <c r="X1210" s="7"/>
    </row>
    <row r="1211" spans="1:24" s="1" customFormat="1" x14ac:dyDescent="0.2">
      <c r="A1211" s="17"/>
      <c r="B1211" s="18"/>
      <c r="E1211" s="2"/>
      <c r="F1211" s="2"/>
      <c r="H1211" s="2"/>
      <c r="I1211" s="2"/>
      <c r="J1211" s="2"/>
      <c r="N1211" s="9"/>
      <c r="O1211" s="7"/>
      <c r="P1211" s="7"/>
      <c r="Q1211" s="7"/>
      <c r="R1211" s="7"/>
      <c r="S1211" s="7"/>
      <c r="T1211" s="7"/>
      <c r="U1211" s="7"/>
      <c r="V1211" s="7"/>
      <c r="W1211" s="7"/>
      <c r="X1211" s="7"/>
    </row>
    <row r="1212" spans="1:24" s="1" customFormat="1" ht="16.899999999999999" customHeight="1" x14ac:dyDescent="0.2">
      <c r="A1212" s="17"/>
      <c r="B1212" s="18"/>
      <c r="D1212" s="2"/>
      <c r="F1212" s="2"/>
      <c r="H1212" s="2"/>
      <c r="I1212" s="2"/>
      <c r="N1212" s="9"/>
      <c r="O1212" s="7"/>
      <c r="P1212" s="7"/>
      <c r="Q1212" s="7"/>
      <c r="R1212" s="7"/>
      <c r="S1212" s="7"/>
      <c r="T1212" s="7"/>
      <c r="U1212" s="7"/>
      <c r="V1212" s="7"/>
      <c r="W1212" s="7"/>
      <c r="X1212" s="7"/>
    </row>
    <row r="1213" spans="1:24" s="1" customFormat="1" ht="15.75" customHeight="1" x14ac:dyDescent="0.2">
      <c r="A1213" s="17"/>
      <c r="B1213" s="18"/>
      <c r="E1213" s="2"/>
      <c r="F1213" s="2"/>
      <c r="H1213" s="2"/>
      <c r="I1213" s="2"/>
      <c r="J1213" s="2"/>
      <c r="N1213" s="9"/>
      <c r="O1213" s="7"/>
      <c r="P1213" s="7"/>
      <c r="Q1213" s="7"/>
      <c r="R1213" s="7"/>
      <c r="S1213" s="7"/>
      <c r="T1213" s="7"/>
      <c r="U1213" s="7"/>
      <c r="V1213" s="7"/>
      <c r="W1213" s="7"/>
      <c r="X1213" s="7"/>
    </row>
    <row r="1214" spans="1:24" s="1" customFormat="1" ht="49.9" customHeight="1" x14ac:dyDescent="0.2">
      <c r="A1214" s="17"/>
      <c r="B1214" s="18"/>
      <c r="D1214" s="2"/>
      <c r="E1214" s="2"/>
      <c r="F1214" s="2"/>
      <c r="H1214" s="2"/>
      <c r="I1214" s="2"/>
      <c r="J1214" s="2"/>
      <c r="N1214" s="9"/>
      <c r="O1214" s="7"/>
      <c r="P1214" s="7"/>
      <c r="Q1214" s="7"/>
      <c r="R1214" s="7"/>
      <c r="S1214" s="7"/>
      <c r="T1214" s="7"/>
      <c r="U1214" s="7"/>
      <c r="V1214" s="7"/>
      <c r="W1214" s="7"/>
      <c r="X1214" s="7"/>
    </row>
    <row r="1215" spans="1:24" s="1" customFormat="1" ht="54.75" customHeight="1" x14ac:dyDescent="0.2">
      <c r="A1215" s="17"/>
      <c r="B1215" s="18"/>
      <c r="D1215" s="2"/>
      <c r="E1215" s="2"/>
      <c r="F1215" s="2"/>
      <c r="H1215" s="2"/>
      <c r="I1215" s="2"/>
      <c r="J1215" s="2"/>
      <c r="N1215" s="9"/>
      <c r="O1215" s="7"/>
      <c r="P1215" s="7"/>
      <c r="Q1215" s="7"/>
      <c r="R1215" s="7"/>
      <c r="S1215" s="7"/>
      <c r="T1215" s="7"/>
      <c r="U1215" s="7"/>
      <c r="V1215" s="7"/>
      <c r="W1215" s="7"/>
      <c r="X1215" s="7"/>
    </row>
    <row r="1216" spans="1:24" s="1" customFormat="1" ht="33" customHeight="1" x14ac:dyDescent="0.2">
      <c r="A1216" s="17"/>
      <c r="B1216" s="18"/>
      <c r="D1216" s="2"/>
      <c r="E1216" s="2"/>
      <c r="F1216" s="2"/>
      <c r="H1216" s="2"/>
      <c r="I1216" s="2"/>
      <c r="J1216" s="2"/>
      <c r="N1216" s="9"/>
      <c r="O1216" s="7"/>
      <c r="P1216" s="7"/>
      <c r="Q1216" s="7"/>
      <c r="R1216" s="7"/>
      <c r="S1216" s="7"/>
      <c r="T1216" s="7"/>
      <c r="U1216" s="7"/>
      <c r="V1216" s="7"/>
      <c r="W1216" s="7"/>
      <c r="X1216" s="7"/>
    </row>
    <row r="1217" spans="1:24" s="1" customFormat="1" ht="141.6" customHeight="1" x14ac:dyDescent="0.2">
      <c r="A1217" s="17"/>
      <c r="B1217" s="18"/>
      <c r="D1217" s="2"/>
      <c r="E1217" s="2"/>
      <c r="F1217" s="2"/>
      <c r="H1217" s="2"/>
      <c r="I1217" s="2"/>
      <c r="J1217" s="2"/>
      <c r="N1217" s="9"/>
      <c r="O1217" s="7"/>
      <c r="P1217" s="7"/>
      <c r="Q1217" s="7"/>
      <c r="R1217" s="7"/>
      <c r="S1217" s="7"/>
      <c r="T1217" s="7"/>
      <c r="U1217" s="7"/>
      <c r="V1217" s="7"/>
      <c r="W1217" s="7"/>
      <c r="X1217" s="7"/>
    </row>
    <row r="1218" spans="1:24" s="1" customFormat="1" ht="50.25" customHeight="1" x14ac:dyDescent="0.2">
      <c r="A1218" s="17"/>
      <c r="B1218" s="18"/>
      <c r="D1218" s="2"/>
      <c r="E1218" s="2"/>
      <c r="F1218" s="2"/>
      <c r="H1218" s="2"/>
      <c r="I1218" s="2"/>
      <c r="J1218" s="2"/>
      <c r="N1218" s="9"/>
      <c r="O1218" s="7"/>
      <c r="P1218" s="7"/>
      <c r="Q1218" s="7"/>
      <c r="R1218" s="7"/>
      <c r="S1218" s="7"/>
      <c r="T1218" s="7"/>
      <c r="U1218" s="7"/>
      <c r="V1218" s="7"/>
      <c r="W1218" s="7"/>
      <c r="X1218" s="7"/>
    </row>
    <row r="1219" spans="1:24" s="1" customFormat="1" ht="33.6" customHeight="1" x14ac:dyDescent="0.2">
      <c r="A1219" s="17"/>
      <c r="B1219" s="18"/>
      <c r="D1219" s="2"/>
      <c r="F1219" s="2"/>
      <c r="H1219" s="2"/>
      <c r="I1219" s="2"/>
      <c r="N1219" s="9"/>
      <c r="O1219" s="7"/>
      <c r="P1219" s="7"/>
      <c r="Q1219" s="7"/>
      <c r="R1219" s="7"/>
      <c r="S1219" s="7"/>
      <c r="T1219" s="7"/>
      <c r="U1219" s="7"/>
      <c r="V1219" s="7"/>
      <c r="W1219" s="7"/>
      <c r="X1219" s="7"/>
    </row>
    <row r="1220" spans="1:24" s="1" customFormat="1" ht="46.5" customHeight="1" x14ac:dyDescent="0.2">
      <c r="A1220" s="17"/>
      <c r="B1220" s="18"/>
      <c r="E1220" s="2"/>
      <c r="F1220" s="2"/>
      <c r="H1220" s="2"/>
      <c r="I1220" s="2"/>
      <c r="J1220" s="2"/>
      <c r="N1220" s="9"/>
      <c r="O1220" s="7"/>
      <c r="P1220" s="7"/>
      <c r="Q1220" s="7"/>
      <c r="R1220" s="7"/>
      <c r="S1220" s="7"/>
      <c r="T1220" s="7"/>
      <c r="U1220" s="7"/>
      <c r="V1220" s="7"/>
      <c r="W1220" s="7"/>
      <c r="X1220" s="7"/>
    </row>
    <row r="1221" spans="1:24" s="1" customFormat="1" ht="49.15" customHeight="1" x14ac:dyDescent="0.2">
      <c r="A1221" s="17"/>
      <c r="B1221" s="18"/>
      <c r="D1221" s="2"/>
      <c r="E1221" s="2"/>
      <c r="F1221" s="2"/>
      <c r="H1221" s="2"/>
      <c r="I1221" s="2"/>
      <c r="J1221" s="2"/>
      <c r="N1221" s="9"/>
      <c r="O1221" s="7"/>
      <c r="P1221" s="7"/>
      <c r="Q1221" s="7"/>
      <c r="R1221" s="7"/>
      <c r="S1221" s="7"/>
      <c r="T1221" s="7"/>
      <c r="U1221" s="7"/>
      <c r="V1221" s="7"/>
      <c r="W1221" s="7"/>
      <c r="X1221" s="7"/>
    </row>
    <row r="1222" spans="1:24" s="1" customFormat="1" ht="33.6" customHeight="1" x14ac:dyDescent="0.2">
      <c r="A1222" s="17"/>
      <c r="B1222" s="18"/>
      <c r="D1222" s="2"/>
      <c r="F1222" s="2"/>
      <c r="H1222" s="2"/>
      <c r="I1222" s="2"/>
      <c r="N1222" s="9"/>
      <c r="O1222" s="7"/>
      <c r="P1222" s="7"/>
      <c r="Q1222" s="7"/>
      <c r="R1222" s="7"/>
      <c r="S1222" s="7"/>
      <c r="T1222" s="7"/>
      <c r="U1222" s="7"/>
      <c r="V1222" s="7"/>
      <c r="W1222" s="7"/>
      <c r="X1222" s="7"/>
    </row>
    <row r="1223" spans="1:24" ht="17.45" customHeight="1" x14ac:dyDescent="0.2">
      <c r="A1223" s="17"/>
      <c r="D1223" s="1"/>
    </row>
    <row r="1224" spans="1:24" s="6" customFormat="1" x14ac:dyDescent="0.2">
      <c r="A1224" s="21"/>
      <c r="B1224" s="18"/>
      <c r="C1224" s="1"/>
      <c r="D1224" s="2"/>
      <c r="E1224" s="2"/>
      <c r="F1224" s="2"/>
      <c r="G1224" s="1"/>
      <c r="H1224" s="2"/>
      <c r="I1224" s="2"/>
      <c r="J1224" s="2"/>
      <c r="K1224" s="1"/>
      <c r="M1224" s="1"/>
      <c r="N1224" s="10"/>
    </row>
    <row r="1225" spans="1:24" s="6" customFormat="1" ht="12" customHeight="1" x14ac:dyDescent="0.2">
      <c r="A1225" s="21"/>
      <c r="B1225" s="18"/>
      <c r="C1225" s="1"/>
      <c r="D1225" s="2"/>
      <c r="E1225" s="2"/>
      <c r="F1225" s="2"/>
      <c r="G1225" s="1"/>
      <c r="H1225" s="2"/>
      <c r="I1225" s="2"/>
      <c r="J1225" s="2"/>
      <c r="K1225" s="1"/>
      <c r="M1225" s="1"/>
      <c r="N1225" s="10"/>
    </row>
    <row r="1226" spans="1:24" s="57" customFormat="1" ht="58.9" customHeight="1" x14ac:dyDescent="0.25">
      <c r="A1226" s="22" t="s">
        <v>424</v>
      </c>
      <c r="B1226" s="18"/>
      <c r="C1226" s="1"/>
      <c r="D1226" s="2"/>
      <c r="E1226" s="2"/>
      <c r="F1226" s="2"/>
      <c r="G1226" s="1"/>
      <c r="H1226" s="2"/>
      <c r="I1226" s="2"/>
      <c r="J1226" s="2"/>
      <c r="K1226" s="1"/>
      <c r="M1226" s="1"/>
      <c r="N1226" s="11"/>
    </row>
    <row r="1227" spans="1:24" ht="15" customHeight="1" x14ac:dyDescent="0.2">
      <c r="A1227" s="23"/>
    </row>
    <row r="1228" spans="1:24" x14ac:dyDescent="0.2">
      <c r="A1228" s="23"/>
    </row>
    <row r="1229" spans="1:24" x14ac:dyDescent="0.2">
      <c r="A1229" s="23"/>
      <c r="E1229" s="1"/>
      <c r="J1229" s="1"/>
    </row>
    <row r="1230" spans="1:24" x14ac:dyDescent="0.2">
      <c r="A1230" s="23"/>
      <c r="D1230" s="1"/>
    </row>
    <row r="1231" spans="1:24" ht="22.5" customHeight="1" x14ac:dyDescent="0.2">
      <c r="A1231" s="23"/>
    </row>
    <row r="1232" spans="1:24" x14ac:dyDescent="0.2">
      <c r="A1232" s="23"/>
    </row>
    <row r="1233" spans="1:24" x14ac:dyDescent="0.2">
      <c r="A1233" s="23"/>
    </row>
    <row r="1234" spans="1:24" x14ac:dyDescent="0.2">
      <c r="A1234" s="23"/>
    </row>
    <row r="1235" spans="1:24" ht="37.5" customHeight="1" x14ac:dyDescent="0.2">
      <c r="A1235" s="23"/>
    </row>
    <row r="1236" spans="1:24" ht="23.25" customHeight="1" x14ac:dyDescent="0.2">
      <c r="A1236" s="23"/>
    </row>
    <row r="1237" spans="1:24" x14ac:dyDescent="0.2">
      <c r="A1237" s="23"/>
    </row>
    <row r="1238" spans="1:24" ht="24.75" customHeight="1" x14ac:dyDescent="0.2">
      <c r="A1238" s="23"/>
    </row>
    <row r="1239" spans="1:24" s="1" customFormat="1" x14ac:dyDescent="0.2">
      <c r="A1239" s="23"/>
      <c r="B1239" s="18"/>
      <c r="D1239" s="2"/>
      <c r="E1239" s="2"/>
      <c r="F1239" s="2"/>
      <c r="H1239" s="2"/>
      <c r="I1239" s="2"/>
      <c r="J1239" s="2"/>
      <c r="N1239" s="9"/>
      <c r="O1239" s="7"/>
      <c r="P1239" s="7"/>
      <c r="Q1239" s="7"/>
      <c r="R1239" s="7"/>
      <c r="S1239" s="7"/>
      <c r="T1239" s="7"/>
      <c r="U1239" s="7"/>
      <c r="V1239" s="7"/>
      <c r="W1239" s="7"/>
      <c r="X1239" s="7"/>
    </row>
    <row r="1240" spans="1:24" s="1" customFormat="1" x14ac:dyDescent="0.2">
      <c r="A1240" s="23"/>
      <c r="B1240" s="18"/>
      <c r="D1240" s="2"/>
      <c r="F1240" s="2"/>
      <c r="H1240" s="2"/>
      <c r="I1240" s="2"/>
      <c r="N1240" s="9"/>
      <c r="O1240" s="7"/>
      <c r="P1240" s="7"/>
      <c r="Q1240" s="7"/>
      <c r="R1240" s="7"/>
      <c r="S1240" s="7"/>
      <c r="T1240" s="7"/>
      <c r="U1240" s="7"/>
      <c r="V1240" s="7"/>
      <c r="W1240" s="7"/>
      <c r="X1240" s="7"/>
    </row>
    <row r="1241" spans="1:24" s="1" customFormat="1" x14ac:dyDescent="0.2">
      <c r="A1241" s="23"/>
      <c r="B1241" s="18"/>
      <c r="F1241" s="2"/>
      <c r="H1241" s="2"/>
      <c r="I1241" s="2"/>
      <c r="N1241" s="9"/>
      <c r="O1241" s="7"/>
      <c r="P1241" s="7"/>
      <c r="Q1241" s="7"/>
      <c r="R1241" s="7"/>
      <c r="S1241" s="7"/>
      <c r="T1241" s="7"/>
      <c r="U1241" s="7"/>
      <c r="V1241" s="7"/>
      <c r="W1241" s="7"/>
      <c r="X1241" s="7"/>
    </row>
    <row r="1242" spans="1:24" s="1" customFormat="1" x14ac:dyDescent="0.2">
      <c r="A1242" s="23"/>
      <c r="B1242" s="18"/>
      <c r="F1242" s="2"/>
      <c r="H1242" s="2"/>
      <c r="I1242" s="2"/>
      <c r="N1242" s="9"/>
      <c r="O1242" s="7"/>
      <c r="P1242" s="7"/>
      <c r="Q1242" s="7"/>
      <c r="R1242" s="7"/>
      <c r="S1242" s="7"/>
      <c r="T1242" s="7"/>
      <c r="U1242" s="7"/>
      <c r="V1242" s="7"/>
      <c r="W1242" s="7"/>
      <c r="X1242" s="7"/>
    </row>
    <row r="1243" spans="1:24" s="1" customFormat="1" x14ac:dyDescent="0.2">
      <c r="A1243" s="23"/>
      <c r="B1243" s="18"/>
      <c r="F1243" s="2"/>
      <c r="H1243" s="2"/>
      <c r="I1243" s="2"/>
      <c r="N1243" s="9"/>
      <c r="O1243" s="7"/>
      <c r="P1243" s="7"/>
      <c r="Q1243" s="7"/>
      <c r="R1243" s="7"/>
      <c r="S1243" s="7"/>
      <c r="T1243" s="7"/>
      <c r="U1243" s="7"/>
      <c r="V1243" s="7"/>
      <c r="W1243" s="7"/>
      <c r="X1243" s="7"/>
    </row>
    <row r="1244" spans="1:24" s="1" customFormat="1" x14ac:dyDescent="0.2">
      <c r="A1244" s="23"/>
      <c r="B1244" s="18"/>
      <c r="F1244" s="2"/>
      <c r="H1244" s="2"/>
      <c r="I1244" s="2"/>
      <c r="N1244" s="9"/>
      <c r="O1244" s="7"/>
      <c r="P1244" s="7"/>
      <c r="Q1244" s="7"/>
      <c r="R1244" s="7"/>
      <c r="S1244" s="7"/>
      <c r="T1244" s="7"/>
      <c r="U1244" s="7"/>
      <c r="V1244" s="7"/>
      <c r="W1244" s="7"/>
      <c r="X1244" s="7"/>
    </row>
    <row r="1245" spans="1:24" s="1" customFormat="1" ht="21.75" customHeight="1" x14ac:dyDescent="0.2">
      <c r="A1245" s="23"/>
      <c r="B1245" s="18"/>
      <c r="E1245" s="2"/>
      <c r="F1245" s="2"/>
      <c r="H1245" s="2"/>
      <c r="I1245" s="2"/>
      <c r="J1245" s="2"/>
      <c r="N1245" s="9"/>
      <c r="O1245" s="7"/>
      <c r="P1245" s="7"/>
      <c r="Q1245" s="7"/>
      <c r="R1245" s="7"/>
      <c r="S1245" s="7"/>
      <c r="T1245" s="7"/>
      <c r="U1245" s="7"/>
      <c r="V1245" s="7"/>
      <c r="W1245" s="7"/>
      <c r="X1245" s="7"/>
    </row>
    <row r="1246" spans="1:24" s="1" customFormat="1" x14ac:dyDescent="0.2">
      <c r="A1246" s="23"/>
      <c r="B1246" s="18"/>
      <c r="D1246" s="2"/>
      <c r="E1246" s="2"/>
      <c r="F1246" s="2"/>
      <c r="H1246" s="2"/>
      <c r="I1246" s="2"/>
      <c r="J1246" s="2"/>
      <c r="N1246" s="9"/>
      <c r="O1246" s="7"/>
      <c r="P1246" s="7"/>
      <c r="Q1246" s="7"/>
      <c r="R1246" s="7"/>
      <c r="S1246" s="7"/>
      <c r="T1246" s="7"/>
      <c r="U1246" s="7"/>
      <c r="V1246" s="7"/>
      <c r="W1246" s="7"/>
      <c r="X1246" s="7"/>
    </row>
    <row r="1247" spans="1:24" s="1" customFormat="1" x14ac:dyDescent="0.2">
      <c r="A1247" s="23"/>
      <c r="B1247" s="18"/>
      <c r="D1247" s="2"/>
      <c r="E1247" s="2"/>
      <c r="F1247" s="2"/>
      <c r="H1247" s="2"/>
      <c r="I1247" s="2"/>
      <c r="J1247" s="2"/>
      <c r="N1247" s="9"/>
      <c r="O1247" s="7"/>
      <c r="P1247" s="7"/>
      <c r="Q1247" s="7"/>
      <c r="R1247" s="7"/>
      <c r="S1247" s="7"/>
      <c r="T1247" s="7"/>
      <c r="U1247" s="7"/>
      <c r="V1247" s="7"/>
      <c r="W1247" s="7"/>
      <c r="X1247" s="7"/>
    </row>
    <row r="1248" spans="1:24" s="1" customFormat="1" ht="23.25" customHeight="1" x14ac:dyDescent="0.2">
      <c r="A1248" s="23"/>
      <c r="B1248" s="18"/>
      <c r="D1248" s="2"/>
      <c r="E1248" s="2"/>
      <c r="F1248" s="2"/>
      <c r="H1248" s="2"/>
      <c r="I1248" s="2"/>
      <c r="J1248" s="2"/>
      <c r="N1248" s="9"/>
      <c r="O1248" s="7"/>
      <c r="P1248" s="7"/>
      <c r="Q1248" s="7"/>
      <c r="R1248" s="7"/>
      <c r="S1248" s="7"/>
      <c r="T1248" s="7"/>
      <c r="U1248" s="7"/>
      <c r="V1248" s="7"/>
      <c r="W1248" s="7"/>
      <c r="X1248" s="7"/>
    </row>
    <row r="1249" spans="1:24" s="1" customFormat="1" x14ac:dyDescent="0.2">
      <c r="A1249" s="23"/>
      <c r="B1249" s="18"/>
      <c r="D1249" s="2"/>
      <c r="E1249" s="2"/>
      <c r="F1249" s="2"/>
      <c r="H1249" s="2"/>
      <c r="I1249" s="2"/>
      <c r="J1249" s="2"/>
      <c r="N1249" s="9"/>
      <c r="O1249" s="7"/>
      <c r="P1249" s="7"/>
      <c r="Q1249" s="7"/>
      <c r="R1249" s="7"/>
      <c r="S1249" s="7"/>
      <c r="T1249" s="7"/>
      <c r="U1249" s="7"/>
      <c r="V1249" s="7"/>
      <c r="W1249" s="7"/>
      <c r="X1249" s="7"/>
    </row>
    <row r="1250" spans="1:24" s="1" customFormat="1" x14ac:dyDescent="0.2">
      <c r="A1250" s="23"/>
      <c r="B1250" s="18"/>
      <c r="D1250" s="2"/>
      <c r="E1250" s="2"/>
      <c r="F1250" s="2"/>
      <c r="H1250" s="2"/>
      <c r="I1250" s="2"/>
      <c r="J1250" s="2"/>
      <c r="N1250" s="9"/>
      <c r="O1250" s="7"/>
      <c r="P1250" s="7"/>
      <c r="Q1250" s="7"/>
      <c r="R1250" s="7"/>
      <c r="S1250" s="7"/>
      <c r="T1250" s="7"/>
      <c r="U1250" s="7"/>
      <c r="V1250" s="7"/>
      <c r="W1250" s="7"/>
      <c r="X1250" s="7"/>
    </row>
    <row r="1251" spans="1:24" s="1" customFormat="1" x14ac:dyDescent="0.2">
      <c r="A1251" s="23"/>
      <c r="B1251" s="18"/>
      <c r="D1251" s="2"/>
      <c r="E1251" s="2"/>
      <c r="F1251" s="2"/>
      <c r="H1251" s="2"/>
      <c r="I1251" s="2"/>
      <c r="J1251" s="2"/>
      <c r="N1251" s="9"/>
      <c r="O1251" s="7"/>
      <c r="P1251" s="7"/>
      <c r="Q1251" s="7"/>
      <c r="R1251" s="7"/>
      <c r="S1251" s="7"/>
      <c r="T1251" s="7"/>
      <c r="U1251" s="7"/>
      <c r="V1251" s="7"/>
      <c r="W1251" s="7"/>
      <c r="X1251" s="7"/>
    </row>
    <row r="1252" spans="1:24" s="1" customFormat="1" x14ac:dyDescent="0.2">
      <c r="A1252" s="23"/>
      <c r="B1252" s="18"/>
      <c r="D1252" s="2"/>
      <c r="E1252" s="2"/>
      <c r="F1252" s="2"/>
      <c r="H1252" s="2"/>
      <c r="I1252" s="2"/>
      <c r="J1252" s="2"/>
      <c r="N1252" s="9"/>
      <c r="O1252" s="7"/>
      <c r="P1252" s="7"/>
      <c r="Q1252" s="7"/>
      <c r="R1252" s="7"/>
      <c r="S1252" s="7"/>
      <c r="T1252" s="7"/>
      <c r="U1252" s="7"/>
      <c r="V1252" s="7"/>
      <c r="W1252" s="7"/>
      <c r="X1252" s="7"/>
    </row>
    <row r="1253" spans="1:24" s="1" customFormat="1" x14ac:dyDescent="0.2">
      <c r="A1253" s="23"/>
      <c r="B1253" s="18"/>
      <c r="D1253" s="2"/>
      <c r="F1253" s="2"/>
      <c r="H1253" s="2"/>
      <c r="I1253" s="2"/>
      <c r="N1253" s="9"/>
      <c r="O1253" s="7"/>
      <c r="P1253" s="7"/>
      <c r="Q1253" s="7"/>
      <c r="R1253" s="7"/>
      <c r="S1253" s="7"/>
      <c r="T1253" s="7"/>
      <c r="U1253" s="7"/>
      <c r="V1253" s="7"/>
      <c r="W1253" s="7"/>
      <c r="X1253" s="7"/>
    </row>
    <row r="1254" spans="1:24" s="1" customFormat="1" x14ac:dyDescent="0.2">
      <c r="A1254" s="23"/>
      <c r="B1254" s="18"/>
      <c r="E1254" s="2"/>
      <c r="F1254" s="2"/>
      <c r="H1254" s="2"/>
      <c r="I1254" s="2"/>
      <c r="J1254" s="2"/>
      <c r="N1254" s="9"/>
      <c r="O1254" s="7"/>
      <c r="P1254" s="7"/>
      <c r="Q1254" s="7"/>
      <c r="R1254" s="7"/>
      <c r="S1254" s="7"/>
      <c r="T1254" s="7"/>
      <c r="U1254" s="7"/>
      <c r="V1254" s="7"/>
      <c r="W1254" s="7"/>
      <c r="X1254" s="7"/>
    </row>
    <row r="1255" spans="1:24" s="1" customFormat="1" ht="24" customHeight="1" x14ac:dyDescent="0.2">
      <c r="A1255" s="23"/>
      <c r="B1255" s="18"/>
      <c r="D1255" s="2"/>
      <c r="E1255" s="2"/>
      <c r="F1255" s="2"/>
      <c r="H1255" s="2"/>
      <c r="I1255" s="2"/>
      <c r="J1255" s="2"/>
      <c r="N1255" s="9"/>
      <c r="O1255" s="7"/>
      <c r="P1255" s="7"/>
      <c r="Q1255" s="7"/>
      <c r="R1255" s="7"/>
      <c r="S1255" s="7"/>
      <c r="T1255" s="7"/>
      <c r="U1255" s="7"/>
      <c r="V1255" s="7"/>
      <c r="W1255" s="7"/>
      <c r="X1255" s="7"/>
    </row>
    <row r="1256" spans="1:24" s="1" customFormat="1" x14ac:dyDescent="0.2">
      <c r="A1256" s="23"/>
      <c r="B1256" s="18"/>
      <c r="D1256" s="2"/>
      <c r="E1256" s="2"/>
      <c r="F1256" s="2"/>
      <c r="H1256" s="2"/>
      <c r="I1256" s="2"/>
      <c r="J1256" s="2"/>
      <c r="N1256" s="9"/>
      <c r="O1256" s="7"/>
      <c r="P1256" s="7"/>
      <c r="Q1256" s="7"/>
      <c r="R1256" s="7"/>
      <c r="S1256" s="7"/>
      <c r="T1256" s="7"/>
      <c r="U1256" s="7"/>
      <c r="V1256" s="7"/>
      <c r="W1256" s="7"/>
      <c r="X1256" s="7"/>
    </row>
    <row r="1257" spans="1:24" s="1" customFormat="1" x14ac:dyDescent="0.2">
      <c r="A1257" s="23"/>
      <c r="B1257" s="18"/>
      <c r="D1257" s="2"/>
      <c r="F1257" s="2"/>
      <c r="H1257" s="2"/>
      <c r="I1257" s="2"/>
      <c r="N1257" s="9"/>
      <c r="O1257" s="7"/>
      <c r="P1257" s="7"/>
      <c r="Q1257" s="7"/>
      <c r="R1257" s="7"/>
      <c r="S1257" s="7"/>
      <c r="T1257" s="7"/>
      <c r="U1257" s="7"/>
      <c r="V1257" s="7"/>
      <c r="W1257" s="7"/>
      <c r="X1257" s="7"/>
    </row>
    <row r="1258" spans="1:24" s="1" customFormat="1" x14ac:dyDescent="0.2">
      <c r="A1258" s="23"/>
      <c r="B1258" s="18"/>
      <c r="E1258" s="2"/>
      <c r="F1258" s="2"/>
      <c r="H1258" s="2"/>
      <c r="I1258" s="2"/>
      <c r="J1258" s="2"/>
      <c r="N1258" s="9"/>
      <c r="O1258" s="7"/>
      <c r="P1258" s="7"/>
      <c r="Q1258" s="7"/>
      <c r="R1258" s="7"/>
      <c r="S1258" s="7"/>
      <c r="T1258" s="7"/>
      <c r="U1258" s="7"/>
      <c r="V1258" s="7"/>
      <c r="W1258" s="7"/>
      <c r="X1258" s="7"/>
    </row>
    <row r="1259" spans="1:24" s="1" customFormat="1" x14ac:dyDescent="0.2">
      <c r="A1259" s="23"/>
      <c r="B1259" s="18"/>
      <c r="D1259" s="2"/>
      <c r="F1259" s="2"/>
      <c r="H1259" s="2"/>
      <c r="I1259" s="2"/>
      <c r="N1259" s="9"/>
      <c r="O1259" s="7"/>
      <c r="P1259" s="7"/>
      <c r="Q1259" s="7"/>
      <c r="R1259" s="7"/>
      <c r="S1259" s="7"/>
      <c r="T1259" s="7"/>
      <c r="U1259" s="7"/>
      <c r="V1259" s="7"/>
      <c r="W1259" s="7"/>
      <c r="X1259" s="7"/>
    </row>
    <row r="1260" spans="1:24" s="1" customFormat="1" x14ac:dyDescent="0.2">
      <c r="A1260" s="23"/>
      <c r="B1260" s="18"/>
      <c r="E1260" s="2"/>
      <c r="F1260" s="2"/>
      <c r="H1260" s="2"/>
      <c r="I1260" s="2"/>
      <c r="J1260" s="2"/>
      <c r="N1260" s="9"/>
      <c r="O1260" s="7"/>
      <c r="P1260" s="7"/>
      <c r="Q1260" s="7"/>
      <c r="R1260" s="7"/>
      <c r="S1260" s="7"/>
      <c r="T1260" s="7"/>
      <c r="U1260" s="7"/>
      <c r="V1260" s="7"/>
      <c r="W1260" s="7"/>
      <c r="X1260" s="7"/>
    </row>
    <row r="1261" spans="1:24" s="1" customFormat="1" x14ac:dyDescent="0.2">
      <c r="A1261" s="23"/>
      <c r="B1261" s="18"/>
      <c r="D1261" s="2"/>
      <c r="F1261" s="2"/>
      <c r="H1261" s="2"/>
      <c r="I1261" s="2"/>
      <c r="N1261" s="9"/>
      <c r="O1261" s="7"/>
      <c r="P1261" s="7"/>
      <c r="Q1261" s="7"/>
      <c r="R1261" s="7"/>
      <c r="S1261" s="7"/>
      <c r="T1261" s="7"/>
      <c r="U1261" s="7"/>
      <c r="V1261" s="7"/>
      <c r="W1261" s="7"/>
      <c r="X1261" s="7"/>
    </row>
    <row r="1262" spans="1:24" s="1" customFormat="1" x14ac:dyDescent="0.2">
      <c r="A1262" s="23"/>
      <c r="B1262" s="18"/>
      <c r="F1262" s="2"/>
      <c r="H1262" s="2"/>
      <c r="I1262" s="2"/>
      <c r="N1262" s="9"/>
      <c r="O1262" s="7"/>
      <c r="P1262" s="7"/>
      <c r="Q1262" s="7"/>
      <c r="R1262" s="7"/>
      <c r="S1262" s="7"/>
      <c r="T1262" s="7"/>
      <c r="U1262" s="7"/>
      <c r="V1262" s="7"/>
      <c r="W1262" s="7"/>
      <c r="X1262" s="7"/>
    </row>
    <row r="1263" spans="1:24" s="1" customFormat="1" x14ac:dyDescent="0.2">
      <c r="A1263" s="23"/>
      <c r="B1263" s="18"/>
      <c r="E1263" s="2"/>
      <c r="F1263" s="2"/>
      <c r="H1263" s="2"/>
      <c r="I1263" s="2"/>
      <c r="J1263" s="2"/>
      <c r="N1263" s="9"/>
      <c r="O1263" s="7"/>
      <c r="P1263" s="7"/>
      <c r="Q1263" s="7"/>
      <c r="R1263" s="7"/>
      <c r="S1263" s="7"/>
      <c r="T1263" s="7"/>
      <c r="U1263" s="7"/>
      <c r="V1263" s="7"/>
      <c r="W1263" s="7"/>
      <c r="X1263" s="7"/>
    </row>
    <row r="1264" spans="1:24" s="1" customFormat="1" x14ac:dyDescent="0.2">
      <c r="A1264" s="23"/>
      <c r="B1264" s="18"/>
      <c r="D1264" s="2"/>
      <c r="E1264" s="2"/>
      <c r="F1264" s="2"/>
      <c r="H1264" s="2"/>
      <c r="I1264" s="2"/>
      <c r="J1264" s="2"/>
      <c r="N1264" s="9"/>
      <c r="O1264" s="7"/>
      <c r="P1264" s="7"/>
      <c r="Q1264" s="7"/>
      <c r="R1264" s="7"/>
      <c r="S1264" s="7"/>
      <c r="T1264" s="7"/>
      <c r="U1264" s="7"/>
      <c r="V1264" s="7"/>
      <c r="W1264" s="7"/>
      <c r="X1264" s="7"/>
    </row>
    <row r="1265" spans="1:24" s="1" customFormat="1" x14ac:dyDescent="0.2">
      <c r="A1265" s="23"/>
      <c r="B1265" s="18"/>
      <c r="D1265" s="2"/>
      <c r="F1265" s="2"/>
      <c r="H1265" s="2"/>
      <c r="I1265" s="2"/>
      <c r="N1265" s="9"/>
      <c r="O1265" s="7"/>
      <c r="P1265" s="7"/>
      <c r="Q1265" s="7"/>
      <c r="R1265" s="7"/>
      <c r="S1265" s="7"/>
      <c r="T1265" s="7"/>
      <c r="U1265" s="7"/>
      <c r="V1265" s="7"/>
      <c r="W1265" s="7"/>
      <c r="X1265" s="7"/>
    </row>
    <row r="1266" spans="1:24" s="1" customFormat="1" ht="18.75" customHeight="1" x14ac:dyDescent="0.2">
      <c r="A1266" s="23"/>
      <c r="B1266" s="18"/>
      <c r="E1266" s="2"/>
      <c r="F1266" s="2"/>
      <c r="H1266" s="2"/>
      <c r="I1266" s="2"/>
      <c r="J1266" s="2"/>
      <c r="N1266" s="9"/>
      <c r="O1266" s="7"/>
      <c r="P1266" s="7"/>
      <c r="Q1266" s="7"/>
      <c r="R1266" s="7"/>
      <c r="S1266" s="7"/>
      <c r="T1266" s="7"/>
      <c r="U1266" s="7"/>
      <c r="V1266" s="7"/>
      <c r="W1266" s="7"/>
      <c r="X1266" s="7"/>
    </row>
    <row r="1267" spans="1:24" s="1" customFormat="1" ht="18.75" customHeight="1" x14ac:dyDescent="0.2">
      <c r="A1267" s="23"/>
      <c r="B1267" s="18"/>
      <c r="D1267" s="2"/>
      <c r="E1267" s="2"/>
      <c r="F1267" s="2"/>
      <c r="H1267" s="2"/>
      <c r="I1267" s="2"/>
      <c r="J1267" s="2"/>
      <c r="N1267" s="9"/>
      <c r="O1267" s="7"/>
      <c r="P1267" s="7"/>
      <c r="Q1267" s="7"/>
      <c r="R1267" s="7"/>
      <c r="S1267" s="7"/>
      <c r="T1267" s="7"/>
      <c r="U1267" s="7"/>
      <c r="V1267" s="7"/>
      <c r="W1267" s="7"/>
      <c r="X1267" s="7"/>
    </row>
    <row r="1268" spans="1:24" s="1" customFormat="1" ht="15.75" customHeight="1" x14ac:dyDescent="0.2">
      <c r="A1268" s="23"/>
      <c r="B1268" s="18"/>
      <c r="D1268" s="2"/>
      <c r="F1268" s="2"/>
      <c r="H1268" s="2"/>
      <c r="I1268" s="2"/>
      <c r="N1268" s="9"/>
      <c r="O1268" s="7"/>
      <c r="P1268" s="7"/>
      <c r="Q1268" s="7"/>
      <c r="R1268" s="7"/>
      <c r="S1268" s="7"/>
      <c r="T1268" s="7"/>
      <c r="U1268" s="7"/>
      <c r="V1268" s="7"/>
      <c r="W1268" s="7"/>
      <c r="X1268" s="7"/>
    </row>
    <row r="1269" spans="1:24" s="1" customFormat="1" ht="24" customHeight="1" x14ac:dyDescent="0.2">
      <c r="A1269" s="23"/>
      <c r="B1269" s="18"/>
      <c r="F1269" s="2"/>
      <c r="H1269" s="2"/>
      <c r="I1269" s="2"/>
      <c r="N1269" s="9"/>
      <c r="O1269" s="7"/>
      <c r="P1269" s="7"/>
      <c r="Q1269" s="7"/>
      <c r="R1269" s="7"/>
      <c r="S1269" s="7"/>
      <c r="T1269" s="7"/>
      <c r="U1269" s="7"/>
      <c r="V1269" s="7"/>
      <c r="W1269" s="7"/>
      <c r="X1269" s="7"/>
    </row>
    <row r="1270" spans="1:24" s="1" customFormat="1" ht="18" customHeight="1" x14ac:dyDescent="0.2">
      <c r="A1270" s="23"/>
      <c r="B1270" s="18"/>
      <c r="F1270" s="2"/>
      <c r="H1270" s="2"/>
      <c r="I1270" s="2"/>
      <c r="N1270" s="9"/>
      <c r="O1270" s="7"/>
      <c r="P1270" s="7"/>
      <c r="Q1270" s="7"/>
      <c r="R1270" s="7"/>
      <c r="S1270" s="7"/>
      <c r="T1270" s="7"/>
      <c r="U1270" s="7"/>
      <c r="V1270" s="7"/>
      <c r="W1270" s="7"/>
      <c r="X1270" s="7"/>
    </row>
    <row r="1271" spans="1:24" s="1" customFormat="1" x14ac:dyDescent="0.2">
      <c r="A1271" s="23"/>
      <c r="B1271" s="18"/>
      <c r="E1271" s="2"/>
      <c r="F1271" s="2"/>
      <c r="H1271" s="2"/>
      <c r="I1271" s="2"/>
      <c r="J1271" s="2"/>
      <c r="N1271" s="9"/>
      <c r="O1271" s="7"/>
      <c r="P1271" s="7"/>
      <c r="Q1271" s="7"/>
      <c r="R1271" s="7"/>
      <c r="S1271" s="7"/>
      <c r="T1271" s="7"/>
      <c r="U1271" s="7"/>
      <c r="V1271" s="7"/>
      <c r="W1271" s="7"/>
      <c r="X1271" s="7"/>
    </row>
    <row r="1272" spans="1:24" s="1" customFormat="1" x14ac:dyDescent="0.2">
      <c r="A1272" s="23"/>
      <c r="B1272" s="18"/>
      <c r="D1272" s="2"/>
      <c r="E1272" s="2"/>
      <c r="F1272" s="2"/>
      <c r="H1272" s="2"/>
      <c r="I1272" s="2"/>
      <c r="J1272" s="2"/>
      <c r="N1272" s="9"/>
      <c r="O1272" s="7"/>
      <c r="P1272" s="7"/>
      <c r="Q1272" s="7"/>
      <c r="R1272" s="7"/>
      <c r="S1272" s="7"/>
      <c r="T1272" s="7"/>
      <c r="U1272" s="7"/>
      <c r="V1272" s="7"/>
      <c r="W1272" s="7"/>
      <c r="X1272" s="7"/>
    </row>
    <row r="1273" spans="1:24" s="1" customFormat="1" x14ac:dyDescent="0.2">
      <c r="A1273" s="23"/>
      <c r="B1273" s="18"/>
      <c r="D1273" s="2"/>
      <c r="F1273" s="2"/>
      <c r="H1273" s="2"/>
      <c r="I1273" s="2"/>
      <c r="N1273" s="9"/>
      <c r="O1273" s="7"/>
      <c r="P1273" s="7"/>
      <c r="Q1273" s="7"/>
      <c r="R1273" s="7"/>
      <c r="S1273" s="7"/>
      <c r="T1273" s="7"/>
      <c r="U1273" s="7"/>
      <c r="V1273" s="7"/>
      <c r="W1273" s="7"/>
      <c r="X1273" s="7"/>
    </row>
    <row r="1274" spans="1:24" s="1" customFormat="1" x14ac:dyDescent="0.2">
      <c r="A1274" s="23"/>
      <c r="B1274" s="18"/>
      <c r="E1274" s="2"/>
      <c r="F1274" s="2"/>
      <c r="H1274" s="2"/>
      <c r="I1274" s="2"/>
      <c r="J1274" s="2"/>
      <c r="N1274" s="9"/>
      <c r="O1274" s="7"/>
      <c r="P1274" s="7"/>
      <c r="Q1274" s="7"/>
      <c r="R1274" s="7"/>
      <c r="S1274" s="7"/>
      <c r="T1274" s="7"/>
      <c r="U1274" s="7"/>
      <c r="V1274" s="7"/>
      <c r="W1274" s="7"/>
      <c r="X1274" s="7"/>
    </row>
    <row r="1275" spans="1:24" s="1" customFormat="1" x14ac:dyDescent="0.2">
      <c r="A1275" s="23"/>
      <c r="B1275" s="18"/>
      <c r="D1275" s="2"/>
      <c r="E1275" s="2"/>
      <c r="F1275" s="2"/>
      <c r="H1275" s="2"/>
      <c r="I1275" s="2"/>
      <c r="J1275" s="2"/>
      <c r="N1275" s="9"/>
      <c r="O1275" s="7"/>
      <c r="P1275" s="7"/>
      <c r="Q1275" s="7"/>
      <c r="R1275" s="7"/>
      <c r="S1275" s="7"/>
      <c r="T1275" s="7"/>
      <c r="U1275" s="7"/>
      <c r="V1275" s="7"/>
      <c r="W1275" s="7"/>
      <c r="X1275" s="7"/>
    </row>
    <row r="1276" spans="1:24" s="1" customFormat="1" x14ac:dyDescent="0.2">
      <c r="A1276" s="23"/>
      <c r="B1276" s="18"/>
      <c r="D1276" s="2"/>
      <c r="E1276" s="2"/>
      <c r="F1276" s="2"/>
      <c r="H1276" s="2"/>
      <c r="I1276" s="2"/>
      <c r="J1276" s="2"/>
      <c r="N1276" s="9"/>
      <c r="O1276" s="7"/>
      <c r="P1276" s="7"/>
      <c r="Q1276" s="7"/>
      <c r="R1276" s="7"/>
      <c r="S1276" s="7"/>
      <c r="T1276" s="7"/>
      <c r="U1276" s="7"/>
      <c r="V1276" s="7"/>
      <c r="W1276" s="7"/>
      <c r="X1276" s="7"/>
    </row>
    <row r="1277" spans="1:24" s="1" customFormat="1" x14ac:dyDescent="0.2">
      <c r="A1277" s="23"/>
      <c r="B1277" s="18"/>
      <c r="D1277" s="2"/>
      <c r="E1277" s="2"/>
      <c r="F1277" s="2"/>
      <c r="H1277" s="2"/>
      <c r="I1277" s="2"/>
      <c r="J1277" s="2"/>
      <c r="N1277" s="9"/>
      <c r="O1277" s="7"/>
      <c r="P1277" s="7"/>
      <c r="Q1277" s="7"/>
      <c r="R1277" s="7"/>
      <c r="S1277" s="7"/>
      <c r="T1277" s="7"/>
      <c r="U1277" s="7"/>
      <c r="V1277" s="7"/>
      <c r="W1277" s="7"/>
      <c r="X1277" s="7"/>
    </row>
    <row r="1278" spans="1:24" s="1" customFormat="1" x14ac:dyDescent="0.2">
      <c r="A1278" s="23"/>
      <c r="B1278" s="18"/>
      <c r="D1278" s="2"/>
      <c r="F1278" s="2"/>
      <c r="H1278" s="2"/>
      <c r="I1278" s="2"/>
      <c r="N1278" s="9"/>
      <c r="O1278" s="7"/>
      <c r="P1278" s="7"/>
      <c r="Q1278" s="7"/>
      <c r="R1278" s="7"/>
      <c r="S1278" s="7"/>
      <c r="T1278" s="7"/>
      <c r="U1278" s="7"/>
      <c r="V1278" s="7"/>
      <c r="W1278" s="7"/>
      <c r="X1278" s="7"/>
    </row>
    <row r="1279" spans="1:24" s="1" customFormat="1" ht="48.75" customHeight="1" x14ac:dyDescent="0.2">
      <c r="A1279" s="23"/>
      <c r="B1279" s="18"/>
      <c r="E1279" s="2"/>
      <c r="F1279" s="2"/>
      <c r="H1279" s="2"/>
      <c r="I1279" s="2"/>
      <c r="J1279" s="2"/>
      <c r="N1279" s="9"/>
      <c r="O1279" s="7"/>
      <c r="P1279" s="7"/>
      <c r="Q1279" s="7"/>
      <c r="R1279" s="7"/>
      <c r="S1279" s="7"/>
      <c r="T1279" s="7"/>
      <c r="U1279" s="7"/>
      <c r="V1279" s="7"/>
      <c r="W1279" s="7"/>
      <c r="X1279" s="7"/>
    </row>
    <row r="1280" spans="1:24" s="1" customFormat="1" x14ac:dyDescent="0.2">
      <c r="A1280" s="23"/>
      <c r="B1280" s="18"/>
      <c r="D1280" s="2"/>
      <c r="F1280" s="2"/>
      <c r="H1280" s="2"/>
      <c r="I1280" s="2"/>
      <c r="N1280" s="9"/>
      <c r="O1280" s="7"/>
      <c r="P1280" s="7"/>
      <c r="Q1280" s="7"/>
      <c r="R1280" s="7"/>
      <c r="S1280" s="7"/>
      <c r="T1280" s="7"/>
      <c r="U1280" s="7"/>
      <c r="V1280" s="7"/>
      <c r="W1280" s="7"/>
      <c r="X1280" s="7"/>
    </row>
    <row r="1281" spans="1:24" s="1" customFormat="1" x14ac:dyDescent="0.2">
      <c r="A1281" s="23"/>
      <c r="B1281" s="18"/>
      <c r="E1281" s="2"/>
      <c r="F1281" s="2"/>
      <c r="H1281" s="2"/>
      <c r="I1281" s="2"/>
      <c r="J1281" s="2"/>
      <c r="N1281" s="9"/>
      <c r="O1281" s="7"/>
      <c r="P1281" s="7"/>
      <c r="Q1281" s="7"/>
      <c r="R1281" s="7"/>
      <c r="S1281" s="7"/>
      <c r="T1281" s="7"/>
      <c r="U1281" s="7"/>
      <c r="V1281" s="7"/>
      <c r="W1281" s="7"/>
      <c r="X1281" s="7"/>
    </row>
    <row r="1282" spans="1:24" s="1" customFormat="1" x14ac:dyDescent="0.2">
      <c r="A1282" s="23"/>
      <c r="B1282" s="18"/>
      <c r="D1282" s="2"/>
      <c r="E1282" s="2"/>
      <c r="F1282" s="2"/>
      <c r="H1282" s="2"/>
      <c r="I1282" s="2"/>
      <c r="J1282" s="2"/>
      <c r="N1282" s="9"/>
      <c r="O1282" s="7"/>
      <c r="P1282" s="7"/>
      <c r="Q1282" s="7"/>
      <c r="R1282" s="7"/>
      <c r="S1282" s="7"/>
      <c r="T1282" s="7"/>
      <c r="U1282" s="7"/>
      <c r="V1282" s="7"/>
      <c r="W1282" s="7"/>
      <c r="X1282" s="7"/>
    </row>
    <row r="1283" spans="1:24" s="1" customFormat="1" ht="38.25" customHeight="1" x14ac:dyDescent="0.2">
      <c r="A1283" s="23"/>
      <c r="B1283" s="18"/>
      <c r="D1283" s="2"/>
      <c r="F1283" s="2"/>
      <c r="H1283" s="2"/>
      <c r="I1283" s="2"/>
      <c r="N1283" s="9"/>
      <c r="O1283" s="7"/>
      <c r="P1283" s="7"/>
      <c r="Q1283" s="7"/>
      <c r="R1283" s="7"/>
      <c r="S1283" s="7"/>
      <c r="T1283" s="7"/>
      <c r="U1283" s="7"/>
      <c r="V1283" s="7"/>
      <c r="W1283" s="7"/>
      <c r="X1283" s="7"/>
    </row>
    <row r="1284" spans="1:24" s="1" customFormat="1" x14ac:dyDescent="0.2">
      <c r="A1284" s="23"/>
      <c r="B1284" s="18"/>
      <c r="E1284" s="2"/>
      <c r="F1284" s="2"/>
      <c r="H1284" s="2"/>
      <c r="I1284" s="2"/>
      <c r="J1284" s="2"/>
      <c r="N1284" s="9"/>
      <c r="O1284" s="7"/>
      <c r="P1284" s="7"/>
      <c r="Q1284" s="7"/>
      <c r="R1284" s="7"/>
      <c r="S1284" s="7"/>
      <c r="T1284" s="7"/>
      <c r="U1284" s="7"/>
      <c r="V1284" s="7"/>
      <c r="W1284" s="7"/>
      <c r="X1284" s="7"/>
    </row>
    <row r="1285" spans="1:24" s="1" customFormat="1" ht="48" customHeight="1" x14ac:dyDescent="0.2">
      <c r="A1285" s="23"/>
      <c r="B1285" s="18"/>
      <c r="D1285" s="2"/>
      <c r="F1285" s="2"/>
      <c r="H1285" s="2"/>
      <c r="I1285" s="2"/>
      <c r="N1285" s="9"/>
      <c r="O1285" s="7"/>
      <c r="P1285" s="7"/>
      <c r="Q1285" s="7"/>
      <c r="R1285" s="7"/>
      <c r="S1285" s="7"/>
      <c r="T1285" s="7"/>
      <c r="U1285" s="7"/>
      <c r="V1285" s="7"/>
      <c r="W1285" s="7"/>
      <c r="X1285" s="7"/>
    </row>
    <row r="1286" spans="1:24" s="1" customFormat="1" x14ac:dyDescent="0.2">
      <c r="A1286" s="23"/>
      <c r="B1286" s="18"/>
      <c r="F1286" s="2"/>
      <c r="H1286" s="2"/>
      <c r="I1286" s="2"/>
      <c r="N1286" s="9"/>
      <c r="O1286" s="7"/>
      <c r="P1286" s="7"/>
      <c r="Q1286" s="7"/>
      <c r="R1286" s="7"/>
      <c r="S1286" s="7"/>
      <c r="T1286" s="7"/>
      <c r="U1286" s="7"/>
      <c r="V1286" s="7"/>
      <c r="W1286" s="7"/>
      <c r="X1286" s="7"/>
    </row>
    <row r="1287" spans="1:24" s="1" customFormat="1" ht="51" customHeight="1" x14ac:dyDescent="0.2">
      <c r="A1287" s="23"/>
      <c r="B1287" s="18"/>
      <c r="E1287" s="2"/>
      <c r="F1287" s="2"/>
      <c r="H1287" s="2"/>
      <c r="I1287" s="2"/>
      <c r="J1287" s="2"/>
      <c r="N1287" s="9"/>
      <c r="O1287" s="7"/>
      <c r="P1287" s="7"/>
      <c r="Q1287" s="7"/>
      <c r="R1287" s="7"/>
      <c r="S1287" s="7"/>
      <c r="T1287" s="7"/>
      <c r="U1287" s="7"/>
      <c r="V1287" s="7"/>
      <c r="W1287" s="7"/>
      <c r="X1287" s="7"/>
    </row>
    <row r="1288" spans="1:24" s="1" customFormat="1" ht="32.25" customHeight="1" x14ac:dyDescent="0.2">
      <c r="A1288" s="23"/>
      <c r="B1288" s="18"/>
      <c r="D1288" s="2"/>
      <c r="E1288" s="2"/>
      <c r="F1288" s="2"/>
      <c r="H1288" s="2"/>
      <c r="I1288" s="2"/>
      <c r="J1288" s="2"/>
      <c r="N1288" s="9"/>
      <c r="O1288" s="7"/>
      <c r="P1288" s="7"/>
      <c r="Q1288" s="7"/>
      <c r="R1288" s="7"/>
      <c r="S1288" s="7"/>
      <c r="T1288" s="7"/>
      <c r="U1288" s="7"/>
      <c r="V1288" s="7"/>
      <c r="W1288" s="7"/>
      <c r="X1288" s="7"/>
    </row>
    <row r="1289" spans="1:24" s="1" customFormat="1" x14ac:dyDescent="0.2">
      <c r="A1289" s="23"/>
      <c r="B1289" s="18"/>
      <c r="D1289" s="2"/>
      <c r="E1289" s="2"/>
      <c r="F1289" s="2"/>
      <c r="H1289" s="2"/>
      <c r="I1289" s="2"/>
      <c r="J1289" s="2"/>
      <c r="N1289" s="9"/>
      <c r="O1289" s="7"/>
      <c r="P1289" s="7"/>
      <c r="Q1289" s="7"/>
      <c r="R1289" s="7"/>
      <c r="S1289" s="7"/>
      <c r="T1289" s="7"/>
      <c r="U1289" s="7"/>
      <c r="V1289" s="7"/>
      <c r="W1289" s="7"/>
      <c r="X1289" s="7"/>
    </row>
    <row r="1290" spans="1:24" s="1" customFormat="1" x14ac:dyDescent="0.2">
      <c r="A1290" s="23"/>
      <c r="B1290" s="18"/>
      <c r="D1290" s="2"/>
      <c r="E1290" s="2"/>
      <c r="F1290" s="2"/>
      <c r="H1290" s="2"/>
      <c r="I1290" s="2"/>
      <c r="J1290" s="2"/>
      <c r="N1290" s="9"/>
      <c r="O1290" s="7"/>
      <c r="P1290" s="7"/>
      <c r="Q1290" s="7"/>
      <c r="R1290" s="7"/>
      <c r="S1290" s="7"/>
      <c r="T1290" s="7"/>
      <c r="U1290" s="7"/>
      <c r="V1290" s="7"/>
      <c r="W1290" s="7"/>
      <c r="X1290" s="7"/>
    </row>
    <row r="1291" spans="1:24" s="1" customFormat="1" ht="48" customHeight="1" x14ac:dyDescent="0.2">
      <c r="A1291" s="7"/>
      <c r="B1291" s="18"/>
      <c r="D1291" s="2"/>
      <c r="E1291" s="2"/>
      <c r="F1291" s="2"/>
      <c r="H1291" s="2"/>
      <c r="I1291" s="2"/>
      <c r="J1291" s="2"/>
      <c r="N1291" s="9"/>
      <c r="O1291" s="7"/>
      <c r="P1291" s="7"/>
      <c r="Q1291" s="7"/>
      <c r="R1291" s="7"/>
      <c r="S1291" s="7"/>
      <c r="T1291" s="7"/>
      <c r="U1291" s="7"/>
      <c r="V1291" s="7"/>
      <c r="W1291" s="7"/>
      <c r="X1291" s="7"/>
    </row>
    <row r="1294" spans="1:24" s="1" customFormat="1" ht="18" customHeight="1" x14ac:dyDescent="0.2">
      <c r="A1294" s="7"/>
      <c r="B1294" s="18"/>
      <c r="D1294" s="2"/>
      <c r="E1294" s="2"/>
      <c r="F1294" s="2"/>
      <c r="H1294" s="2"/>
      <c r="I1294" s="2"/>
      <c r="J1294" s="2"/>
      <c r="N1294" s="9"/>
      <c r="O1294" s="7"/>
      <c r="P1294" s="7"/>
      <c r="Q1294" s="7"/>
      <c r="R1294" s="7"/>
      <c r="S1294" s="7"/>
      <c r="T1294" s="7"/>
      <c r="U1294" s="7"/>
      <c r="V1294" s="7"/>
      <c r="W1294" s="7"/>
      <c r="X1294" s="7"/>
    </row>
    <row r="1295" spans="1:24" s="1" customFormat="1" ht="50.25" customHeight="1" x14ac:dyDescent="0.2">
      <c r="A1295" s="7"/>
      <c r="B1295" s="18"/>
      <c r="D1295" s="2"/>
      <c r="E1295" s="2"/>
      <c r="F1295" s="2"/>
      <c r="H1295" s="2"/>
      <c r="I1295" s="2"/>
      <c r="J1295" s="2"/>
      <c r="N1295" s="9"/>
      <c r="O1295" s="7"/>
      <c r="P1295" s="7"/>
      <c r="Q1295" s="7"/>
      <c r="R1295" s="7"/>
      <c r="S1295" s="7"/>
      <c r="T1295" s="7"/>
      <c r="U1295" s="7"/>
      <c r="V1295" s="7"/>
      <c r="W1295" s="7"/>
      <c r="X1295" s="7"/>
    </row>
    <row r="1296" spans="1:24" s="1" customFormat="1" ht="47.25" customHeight="1" x14ac:dyDescent="0.2">
      <c r="A1296" s="7"/>
      <c r="B1296" s="18"/>
      <c r="D1296" s="2"/>
      <c r="E1296" s="2"/>
      <c r="F1296" s="2"/>
      <c r="H1296" s="2"/>
      <c r="I1296" s="2"/>
      <c r="J1296" s="2"/>
      <c r="N1296" s="9"/>
      <c r="O1296" s="7"/>
      <c r="P1296" s="7"/>
      <c r="Q1296" s="7"/>
      <c r="R1296" s="7"/>
      <c r="S1296" s="7"/>
      <c r="T1296" s="7"/>
      <c r="U1296" s="7"/>
      <c r="V1296" s="7"/>
      <c r="W1296" s="7"/>
      <c r="X1296" s="7"/>
    </row>
    <row r="1298" spans="1:24" s="1" customFormat="1" x14ac:dyDescent="0.2">
      <c r="A1298" s="7"/>
      <c r="B1298" s="18"/>
      <c r="D1298" s="2"/>
      <c r="F1298" s="2"/>
      <c r="H1298" s="2"/>
      <c r="I1298" s="2"/>
      <c r="N1298" s="9"/>
      <c r="O1298" s="7"/>
      <c r="P1298" s="7"/>
      <c r="Q1298" s="7"/>
      <c r="R1298" s="7"/>
      <c r="S1298" s="7"/>
      <c r="T1298" s="7"/>
      <c r="U1298" s="7"/>
      <c r="V1298" s="7"/>
      <c r="W1298" s="7"/>
      <c r="X1298" s="7"/>
    </row>
    <row r="1299" spans="1:24" s="1" customFormat="1" ht="51.75" customHeight="1" x14ac:dyDescent="0.2">
      <c r="A1299" s="7"/>
      <c r="B1299" s="18"/>
      <c r="E1299" s="2"/>
      <c r="F1299" s="2"/>
      <c r="H1299" s="2"/>
      <c r="I1299" s="2"/>
      <c r="J1299" s="2"/>
      <c r="N1299" s="9"/>
      <c r="O1299" s="7"/>
      <c r="P1299" s="7"/>
      <c r="Q1299" s="7"/>
      <c r="R1299" s="7"/>
      <c r="S1299" s="7"/>
      <c r="T1299" s="7"/>
      <c r="U1299" s="7"/>
      <c r="V1299" s="7"/>
      <c r="W1299" s="7"/>
      <c r="X1299" s="7"/>
    </row>
    <row r="1300" spans="1:24" s="1" customFormat="1" x14ac:dyDescent="0.2">
      <c r="A1300" s="7"/>
      <c r="B1300" s="18"/>
      <c r="D1300" s="2"/>
      <c r="F1300" s="2"/>
      <c r="H1300" s="2"/>
      <c r="I1300" s="2"/>
      <c r="N1300" s="9"/>
      <c r="O1300" s="7"/>
      <c r="P1300" s="7"/>
      <c r="Q1300" s="7"/>
      <c r="R1300" s="7"/>
      <c r="S1300" s="7"/>
      <c r="T1300" s="7"/>
      <c r="U1300" s="7"/>
      <c r="V1300" s="7"/>
      <c r="W1300" s="7"/>
      <c r="X1300" s="7"/>
    </row>
    <row r="1301" spans="1:24" s="1" customFormat="1" x14ac:dyDescent="0.2">
      <c r="A1301" s="7"/>
      <c r="B1301" s="18"/>
      <c r="E1301" s="2"/>
      <c r="F1301" s="2"/>
      <c r="H1301" s="2"/>
      <c r="I1301" s="2"/>
      <c r="J1301" s="2"/>
      <c r="N1301" s="9"/>
      <c r="O1301" s="7"/>
      <c r="P1301" s="7"/>
      <c r="Q1301" s="7"/>
      <c r="R1301" s="7"/>
      <c r="S1301" s="7"/>
      <c r="T1301" s="7"/>
      <c r="U1301" s="7"/>
      <c r="V1301" s="7"/>
      <c r="W1301" s="7"/>
      <c r="X1301" s="7"/>
    </row>
    <row r="1302" spans="1:24" s="1" customFormat="1" x14ac:dyDescent="0.2">
      <c r="A1302" s="7"/>
      <c r="B1302" s="18"/>
      <c r="D1302" s="2"/>
      <c r="F1302" s="2"/>
      <c r="H1302" s="2"/>
      <c r="I1302" s="2"/>
      <c r="N1302" s="9"/>
      <c r="O1302" s="7"/>
      <c r="P1302" s="7"/>
      <c r="Q1302" s="7"/>
      <c r="R1302" s="7"/>
      <c r="S1302" s="7"/>
      <c r="T1302" s="7"/>
      <c r="U1302" s="7"/>
      <c r="V1302" s="7"/>
      <c r="W1302" s="7"/>
      <c r="X1302" s="7"/>
    </row>
    <row r="1303" spans="1:24" s="1" customFormat="1" x14ac:dyDescent="0.2">
      <c r="A1303" s="7"/>
      <c r="B1303" s="18"/>
      <c r="E1303" s="2"/>
      <c r="F1303" s="2"/>
      <c r="H1303" s="2"/>
      <c r="I1303" s="2"/>
      <c r="J1303" s="2"/>
      <c r="N1303" s="9"/>
      <c r="O1303" s="7"/>
      <c r="P1303" s="7"/>
      <c r="Q1303" s="7"/>
      <c r="R1303" s="7"/>
      <c r="S1303" s="7"/>
      <c r="T1303" s="7"/>
      <c r="U1303" s="7"/>
      <c r="V1303" s="7"/>
      <c r="W1303" s="7"/>
      <c r="X1303" s="7"/>
    </row>
    <row r="1304" spans="1:24" s="1" customFormat="1" ht="50.25" customHeight="1" x14ac:dyDescent="0.2">
      <c r="A1304" s="7"/>
      <c r="B1304" s="18"/>
      <c r="D1304" s="2"/>
      <c r="F1304" s="2"/>
      <c r="H1304" s="2"/>
      <c r="I1304" s="2"/>
      <c r="N1304" s="9"/>
      <c r="O1304" s="7"/>
      <c r="P1304" s="7"/>
      <c r="Q1304" s="7"/>
      <c r="R1304" s="7"/>
      <c r="S1304" s="7"/>
      <c r="T1304" s="7"/>
      <c r="U1304" s="7"/>
      <c r="V1304" s="7"/>
      <c r="W1304" s="7"/>
      <c r="X1304" s="7"/>
    </row>
    <row r="1305" spans="1:24" s="1" customFormat="1" x14ac:dyDescent="0.2">
      <c r="A1305" s="7"/>
      <c r="B1305" s="18"/>
      <c r="F1305" s="2"/>
      <c r="H1305" s="2"/>
      <c r="I1305" s="2"/>
      <c r="N1305" s="9"/>
      <c r="O1305" s="7"/>
      <c r="P1305" s="7"/>
      <c r="Q1305" s="7"/>
      <c r="R1305" s="7"/>
      <c r="S1305" s="7"/>
      <c r="T1305" s="7"/>
      <c r="U1305" s="7"/>
      <c r="V1305" s="7"/>
      <c r="W1305" s="7"/>
      <c r="X1305" s="7"/>
    </row>
    <row r="1306" spans="1:24" s="1" customFormat="1" ht="32.25" customHeight="1" x14ac:dyDescent="0.2">
      <c r="A1306" s="7"/>
      <c r="B1306" s="18"/>
      <c r="E1306" s="2"/>
      <c r="F1306" s="2"/>
      <c r="H1306" s="2"/>
      <c r="I1306" s="2"/>
      <c r="J1306" s="2"/>
      <c r="N1306" s="9"/>
      <c r="O1306" s="7"/>
      <c r="P1306" s="7"/>
      <c r="Q1306" s="7"/>
      <c r="R1306" s="7"/>
      <c r="S1306" s="7"/>
      <c r="T1306" s="7"/>
      <c r="U1306" s="7"/>
      <c r="V1306" s="7"/>
      <c r="W1306" s="7"/>
      <c r="X1306" s="7"/>
    </row>
    <row r="1307" spans="1:24" s="1" customFormat="1" x14ac:dyDescent="0.2">
      <c r="A1307" s="7"/>
      <c r="B1307" s="18"/>
      <c r="D1307" s="2"/>
      <c r="F1307" s="2"/>
      <c r="H1307" s="2"/>
      <c r="I1307" s="2"/>
      <c r="N1307" s="9"/>
      <c r="O1307" s="7"/>
      <c r="P1307" s="7"/>
      <c r="Q1307" s="7"/>
      <c r="R1307" s="7"/>
      <c r="S1307" s="7"/>
      <c r="T1307" s="7"/>
      <c r="U1307" s="7"/>
      <c r="V1307" s="7"/>
      <c r="W1307" s="7"/>
      <c r="X1307" s="7"/>
    </row>
    <row r="1308" spans="1:24" s="1" customFormat="1" x14ac:dyDescent="0.2">
      <c r="A1308" s="7"/>
      <c r="B1308" s="18"/>
      <c r="F1308" s="2"/>
      <c r="H1308" s="2"/>
      <c r="I1308" s="2"/>
      <c r="N1308" s="9"/>
      <c r="O1308" s="7"/>
      <c r="P1308" s="7"/>
      <c r="Q1308" s="7"/>
      <c r="R1308" s="7"/>
      <c r="S1308" s="7"/>
      <c r="T1308" s="7"/>
      <c r="U1308" s="7"/>
      <c r="V1308" s="7"/>
      <c r="W1308" s="7"/>
      <c r="X1308" s="7"/>
    </row>
    <row r="1309" spans="1:24" s="1" customFormat="1" ht="53.25" customHeight="1" x14ac:dyDescent="0.2">
      <c r="A1309" s="7"/>
      <c r="B1309" s="18"/>
      <c r="E1309" s="2"/>
      <c r="F1309" s="2"/>
      <c r="H1309" s="2"/>
      <c r="I1309" s="2"/>
      <c r="J1309" s="2"/>
      <c r="N1309" s="9"/>
      <c r="O1309" s="7"/>
      <c r="P1309" s="7"/>
      <c r="Q1309" s="7"/>
      <c r="R1309" s="7"/>
      <c r="S1309" s="7"/>
      <c r="T1309" s="7"/>
      <c r="U1309" s="7"/>
      <c r="V1309" s="7"/>
      <c r="W1309" s="7"/>
      <c r="X1309" s="7"/>
    </row>
    <row r="1311" spans="1:24" s="1" customFormat="1" ht="66" customHeight="1" x14ac:dyDescent="0.2">
      <c r="A1311" s="7"/>
      <c r="B1311" s="18"/>
      <c r="D1311" s="2"/>
      <c r="E1311" s="2"/>
      <c r="F1311" s="2"/>
      <c r="H1311" s="2"/>
      <c r="I1311" s="2"/>
      <c r="J1311" s="2"/>
      <c r="N1311" s="9"/>
      <c r="O1311" s="7"/>
      <c r="P1311" s="7"/>
      <c r="Q1311" s="7"/>
      <c r="R1311" s="7"/>
      <c r="S1311" s="7"/>
      <c r="T1311" s="7"/>
      <c r="U1311" s="7"/>
      <c r="V1311" s="7"/>
      <c r="W1311" s="7"/>
      <c r="X1311" s="7"/>
    </row>
    <row r="1312" spans="1:24" s="1" customFormat="1" ht="51" customHeight="1" x14ac:dyDescent="0.2">
      <c r="A1312" s="7"/>
      <c r="B1312" s="18"/>
      <c r="D1312" s="2"/>
      <c r="E1312" s="2"/>
      <c r="F1312" s="2"/>
      <c r="H1312" s="2"/>
      <c r="I1312" s="2"/>
      <c r="J1312" s="2"/>
      <c r="N1312" s="9"/>
      <c r="O1312" s="7"/>
      <c r="P1312" s="7"/>
      <c r="Q1312" s="7"/>
      <c r="R1312" s="7"/>
      <c r="S1312" s="7"/>
      <c r="T1312" s="7"/>
      <c r="U1312" s="7"/>
      <c r="V1312" s="7"/>
      <c r="W1312" s="7"/>
      <c r="X1312" s="7"/>
    </row>
    <row r="1315" spans="1:24" s="1" customFormat="1" x14ac:dyDescent="0.2">
      <c r="A1315" s="7"/>
      <c r="B1315" s="18"/>
      <c r="D1315" s="2"/>
      <c r="F1315" s="2"/>
      <c r="H1315" s="2"/>
      <c r="I1315" s="2"/>
      <c r="N1315" s="9"/>
      <c r="O1315" s="7"/>
      <c r="P1315" s="7"/>
      <c r="Q1315" s="7"/>
      <c r="R1315" s="7"/>
      <c r="S1315" s="7"/>
      <c r="T1315" s="7"/>
      <c r="U1315" s="7"/>
      <c r="V1315" s="7"/>
      <c r="W1315" s="7"/>
      <c r="X1315" s="7"/>
    </row>
    <row r="1316" spans="1:24" s="1" customFormat="1" x14ac:dyDescent="0.2">
      <c r="A1316" s="7"/>
      <c r="B1316" s="18"/>
      <c r="E1316" s="2"/>
      <c r="F1316" s="2"/>
      <c r="H1316" s="2"/>
      <c r="I1316" s="2"/>
      <c r="J1316" s="2"/>
      <c r="N1316" s="9"/>
      <c r="O1316" s="7"/>
      <c r="P1316" s="7"/>
      <c r="Q1316" s="7"/>
      <c r="R1316" s="7"/>
      <c r="S1316" s="7"/>
      <c r="T1316" s="7"/>
      <c r="U1316" s="7"/>
      <c r="V1316" s="7"/>
      <c r="W1316" s="7"/>
      <c r="X1316" s="7"/>
    </row>
    <row r="1324" spans="1:24" s="1" customFormat="1" ht="115.5" customHeight="1" x14ac:dyDescent="0.2">
      <c r="A1324" s="7"/>
      <c r="B1324" s="18"/>
      <c r="D1324" s="2"/>
      <c r="F1324" s="2"/>
      <c r="H1324" s="2"/>
      <c r="I1324" s="2"/>
      <c r="N1324" s="9"/>
      <c r="O1324" s="7"/>
      <c r="P1324" s="7"/>
      <c r="Q1324" s="7"/>
      <c r="R1324" s="7"/>
      <c r="S1324" s="7"/>
      <c r="T1324" s="7"/>
      <c r="U1324" s="7"/>
      <c r="V1324" s="7"/>
      <c r="W1324" s="7"/>
      <c r="X1324" s="7"/>
    </row>
    <row r="1325" spans="1:24" s="1" customFormat="1" x14ac:dyDescent="0.2">
      <c r="A1325" s="7"/>
      <c r="B1325" s="18"/>
      <c r="F1325" s="2"/>
      <c r="H1325" s="2"/>
      <c r="I1325" s="2"/>
      <c r="N1325" s="9"/>
      <c r="O1325" s="7"/>
      <c r="P1325" s="7"/>
      <c r="Q1325" s="7"/>
      <c r="R1325" s="7"/>
      <c r="S1325" s="7"/>
      <c r="T1325" s="7"/>
      <c r="U1325" s="7"/>
      <c r="V1325" s="7"/>
      <c r="W1325" s="7"/>
      <c r="X1325" s="7"/>
    </row>
    <row r="1326" spans="1:24" s="1" customFormat="1" ht="131.25" customHeight="1" x14ac:dyDescent="0.2">
      <c r="A1326" s="7"/>
      <c r="B1326" s="18"/>
      <c r="F1326" s="2"/>
      <c r="H1326" s="2"/>
      <c r="I1326" s="2"/>
      <c r="N1326" s="9"/>
      <c r="O1326" s="7"/>
      <c r="P1326" s="7"/>
      <c r="Q1326" s="7"/>
      <c r="R1326" s="7"/>
      <c r="S1326" s="7"/>
      <c r="T1326" s="7"/>
      <c r="U1326" s="7"/>
      <c r="V1326" s="7"/>
      <c r="W1326" s="7"/>
      <c r="X1326" s="7"/>
    </row>
    <row r="1327" spans="1:24" s="1" customFormat="1" x14ac:dyDescent="0.2">
      <c r="A1327" s="7"/>
      <c r="B1327" s="18"/>
      <c r="F1327" s="2"/>
      <c r="H1327" s="2"/>
      <c r="I1327" s="2"/>
      <c r="N1327" s="9"/>
      <c r="O1327" s="7"/>
      <c r="P1327" s="7"/>
      <c r="Q1327" s="7"/>
      <c r="R1327" s="7"/>
      <c r="S1327" s="7"/>
      <c r="T1327" s="7"/>
      <c r="U1327" s="7"/>
      <c r="V1327" s="7"/>
      <c r="W1327" s="7"/>
      <c r="X1327" s="7"/>
    </row>
    <row r="1328" spans="1:24" s="1" customFormat="1" ht="38.25" customHeight="1" x14ac:dyDescent="0.2">
      <c r="A1328" s="7"/>
      <c r="B1328" s="18"/>
      <c r="E1328" s="2"/>
      <c r="F1328" s="2"/>
      <c r="H1328" s="2"/>
      <c r="I1328" s="2"/>
      <c r="J1328" s="2"/>
      <c r="N1328" s="9"/>
      <c r="O1328" s="7"/>
      <c r="P1328" s="7"/>
      <c r="Q1328" s="7"/>
      <c r="R1328" s="7"/>
      <c r="S1328" s="7"/>
      <c r="T1328" s="7"/>
      <c r="U1328" s="7"/>
      <c r="V1328" s="7"/>
      <c r="W1328" s="7"/>
      <c r="X1328" s="7"/>
    </row>
    <row r="1330" spans="1:24" s="1" customFormat="1" ht="78" customHeight="1" x14ac:dyDescent="0.2">
      <c r="A1330" s="7"/>
      <c r="B1330" s="18"/>
      <c r="D1330" s="2"/>
      <c r="E1330" s="2"/>
      <c r="F1330" s="2"/>
      <c r="H1330" s="2"/>
      <c r="I1330" s="2"/>
      <c r="J1330" s="2"/>
      <c r="N1330" s="9"/>
      <c r="O1330" s="7"/>
      <c r="P1330" s="7"/>
      <c r="Q1330" s="7"/>
      <c r="R1330" s="7"/>
      <c r="S1330" s="7"/>
      <c r="T1330" s="7"/>
      <c r="U1330" s="7"/>
      <c r="V1330" s="7"/>
      <c r="W1330" s="7"/>
      <c r="X1330" s="7"/>
    </row>
    <row r="1331" spans="1:24" s="1" customFormat="1" ht="22.5" customHeight="1" x14ac:dyDescent="0.2">
      <c r="A1331" s="7"/>
      <c r="B1331" s="18"/>
      <c r="D1331" s="2"/>
      <c r="F1331" s="2"/>
      <c r="H1331" s="2"/>
      <c r="I1331" s="2"/>
      <c r="N1331" s="9"/>
      <c r="O1331" s="7"/>
      <c r="P1331" s="7"/>
      <c r="Q1331" s="7"/>
      <c r="R1331" s="7"/>
      <c r="S1331" s="7"/>
      <c r="T1331" s="7"/>
      <c r="U1331" s="7"/>
      <c r="V1331" s="7"/>
      <c r="W1331" s="7"/>
      <c r="X1331" s="7"/>
    </row>
    <row r="1332" spans="1:24" s="1" customFormat="1" x14ac:dyDescent="0.2">
      <c r="A1332" s="7"/>
      <c r="B1332" s="18"/>
      <c r="F1332" s="2"/>
      <c r="H1332" s="2"/>
      <c r="I1332" s="2"/>
      <c r="N1332" s="9"/>
      <c r="O1332" s="7"/>
      <c r="P1332" s="7"/>
      <c r="Q1332" s="7"/>
      <c r="R1332" s="7"/>
      <c r="S1332" s="7"/>
      <c r="T1332" s="7"/>
      <c r="U1332" s="7"/>
      <c r="V1332" s="7"/>
      <c r="W1332" s="7"/>
      <c r="X1332" s="7"/>
    </row>
    <row r="1333" spans="1:24" s="1" customFormat="1" ht="24" customHeight="1" x14ac:dyDescent="0.2">
      <c r="A1333" s="7"/>
      <c r="B1333" s="18"/>
      <c r="E1333" s="2"/>
      <c r="F1333" s="2"/>
      <c r="H1333" s="2"/>
      <c r="I1333" s="2"/>
      <c r="J1333" s="2"/>
      <c r="N1333" s="9"/>
      <c r="O1333" s="7"/>
      <c r="P1333" s="7"/>
      <c r="Q1333" s="7"/>
      <c r="R1333" s="7"/>
      <c r="S1333" s="7"/>
      <c r="T1333" s="7"/>
      <c r="U1333" s="7"/>
      <c r="V1333" s="7"/>
      <c r="W1333" s="7"/>
      <c r="X1333" s="7"/>
    </row>
    <row r="1334" spans="1:24" s="1" customFormat="1" ht="66" customHeight="1" x14ac:dyDescent="0.2">
      <c r="A1334" s="7"/>
      <c r="B1334" s="18"/>
      <c r="D1334" s="2"/>
      <c r="E1334" s="2"/>
      <c r="F1334" s="2"/>
      <c r="H1334" s="2"/>
      <c r="I1334" s="2"/>
      <c r="J1334" s="2"/>
      <c r="N1334" s="9"/>
      <c r="O1334" s="7"/>
      <c r="P1334" s="7"/>
      <c r="Q1334" s="7"/>
      <c r="R1334" s="7"/>
      <c r="S1334" s="7"/>
      <c r="T1334" s="7"/>
      <c r="U1334" s="7"/>
      <c r="V1334" s="7"/>
      <c r="W1334" s="7"/>
      <c r="X1334" s="7"/>
    </row>
    <row r="1341" spans="1:24" s="1" customFormat="1" ht="18" customHeight="1" x14ac:dyDescent="0.2">
      <c r="A1341" s="7"/>
      <c r="B1341" s="18"/>
      <c r="D1341" s="2"/>
      <c r="E1341" s="2"/>
      <c r="F1341" s="2"/>
      <c r="H1341" s="2"/>
      <c r="I1341" s="2"/>
      <c r="J1341" s="2"/>
      <c r="N1341" s="9"/>
      <c r="O1341" s="7"/>
      <c r="P1341" s="7"/>
      <c r="Q1341" s="7"/>
      <c r="R1341" s="7"/>
      <c r="S1341" s="7"/>
      <c r="T1341" s="7"/>
      <c r="U1341" s="7"/>
      <c r="V1341" s="7"/>
      <c r="W1341" s="7"/>
      <c r="X1341" s="7"/>
    </row>
    <row r="1342" spans="1:24" s="1" customFormat="1" x14ac:dyDescent="0.2">
      <c r="A1342" s="7"/>
      <c r="B1342" s="18"/>
      <c r="D1342" s="2"/>
      <c r="F1342" s="2"/>
      <c r="H1342" s="2"/>
      <c r="I1342" s="2"/>
      <c r="N1342" s="9"/>
      <c r="O1342" s="7"/>
      <c r="P1342" s="7"/>
      <c r="Q1342" s="7"/>
      <c r="R1342" s="7"/>
      <c r="S1342" s="7"/>
      <c r="T1342" s="7"/>
      <c r="U1342" s="7"/>
      <c r="V1342" s="7"/>
      <c r="W1342" s="7"/>
      <c r="X1342" s="7"/>
    </row>
    <row r="1343" spans="1:24" s="1" customFormat="1" x14ac:dyDescent="0.2">
      <c r="A1343" s="7"/>
      <c r="B1343" s="18"/>
      <c r="E1343" s="2"/>
      <c r="F1343" s="2"/>
      <c r="H1343" s="2"/>
      <c r="I1343" s="2"/>
      <c r="J1343" s="2"/>
      <c r="N1343" s="9"/>
      <c r="O1343" s="7"/>
      <c r="P1343" s="7"/>
      <c r="Q1343" s="7"/>
      <c r="R1343" s="7"/>
      <c r="S1343" s="7"/>
      <c r="T1343" s="7"/>
      <c r="U1343" s="7"/>
      <c r="V1343" s="7"/>
      <c r="W1343" s="7"/>
      <c r="X1343" s="7"/>
    </row>
    <row r="1350" spans="1:24" s="1" customFormat="1" ht="22.5" customHeight="1" x14ac:dyDescent="0.2">
      <c r="A1350" s="7"/>
      <c r="B1350" s="18"/>
      <c r="D1350" s="2"/>
      <c r="E1350" s="2"/>
      <c r="F1350" s="2"/>
      <c r="H1350" s="2"/>
      <c r="I1350" s="2"/>
      <c r="J1350" s="2"/>
      <c r="N1350" s="9"/>
      <c r="O1350" s="7"/>
      <c r="P1350" s="7"/>
      <c r="Q1350" s="7"/>
      <c r="R1350" s="7"/>
      <c r="S1350" s="7"/>
      <c r="T1350" s="7"/>
      <c r="U1350" s="7"/>
      <c r="V1350" s="7"/>
      <c r="W1350" s="7"/>
      <c r="X1350" s="7"/>
    </row>
    <row r="1351" spans="1:24" s="1" customFormat="1" ht="48" customHeight="1" x14ac:dyDescent="0.2">
      <c r="A1351" s="7"/>
      <c r="B1351" s="18"/>
      <c r="D1351" s="2"/>
      <c r="E1351" s="2"/>
      <c r="F1351" s="2"/>
      <c r="H1351" s="2"/>
      <c r="I1351" s="2"/>
      <c r="J1351" s="2"/>
      <c r="N1351" s="9"/>
      <c r="O1351" s="7"/>
      <c r="P1351" s="7"/>
      <c r="Q1351" s="7"/>
      <c r="R1351" s="7"/>
      <c r="S1351" s="7"/>
      <c r="T1351" s="7"/>
      <c r="U1351" s="7"/>
      <c r="V1351" s="7"/>
      <c r="W1351" s="7"/>
      <c r="X1351" s="7"/>
    </row>
    <row r="1352" spans="1:24" s="1" customFormat="1" ht="21" customHeight="1" x14ac:dyDescent="0.2">
      <c r="A1352" s="7"/>
      <c r="B1352" s="18"/>
      <c r="D1352" s="2"/>
      <c r="F1352" s="2"/>
      <c r="H1352" s="2"/>
      <c r="I1352" s="2"/>
      <c r="N1352" s="9"/>
      <c r="O1352" s="7"/>
      <c r="P1352" s="7"/>
      <c r="Q1352" s="7"/>
      <c r="R1352" s="7"/>
      <c r="S1352" s="7"/>
      <c r="T1352" s="7"/>
      <c r="U1352" s="7"/>
      <c r="V1352" s="7"/>
      <c r="W1352" s="7"/>
      <c r="X1352" s="7"/>
    </row>
    <row r="1353" spans="1:24" s="1" customFormat="1" ht="51" customHeight="1" x14ac:dyDescent="0.2">
      <c r="A1353" s="7"/>
      <c r="B1353" s="18"/>
      <c r="E1353" s="2"/>
      <c r="F1353" s="2"/>
      <c r="H1353" s="2"/>
      <c r="I1353" s="2"/>
      <c r="J1353" s="2"/>
      <c r="N1353" s="9"/>
      <c r="O1353" s="7"/>
      <c r="P1353" s="7"/>
      <c r="Q1353" s="7"/>
      <c r="R1353" s="7"/>
      <c r="S1353" s="7"/>
      <c r="T1353" s="7"/>
      <c r="U1353" s="7"/>
      <c r="V1353" s="7"/>
      <c r="W1353" s="7"/>
      <c r="X1353" s="7"/>
    </row>
    <row r="1356" spans="1:24" s="1" customFormat="1" x14ac:dyDescent="0.2">
      <c r="A1356" s="7"/>
      <c r="B1356" s="18"/>
      <c r="D1356" s="2"/>
      <c r="F1356" s="2"/>
      <c r="H1356" s="2"/>
      <c r="I1356" s="2"/>
      <c r="N1356" s="9"/>
      <c r="O1356" s="7"/>
      <c r="P1356" s="7"/>
      <c r="Q1356" s="7"/>
      <c r="R1356" s="7"/>
      <c r="S1356" s="7"/>
      <c r="T1356" s="7"/>
      <c r="U1356" s="7"/>
      <c r="V1356" s="7"/>
      <c r="W1356" s="7"/>
      <c r="X1356" s="7"/>
    </row>
    <row r="1357" spans="1:24" s="1" customFormat="1" ht="28.5" customHeight="1" x14ac:dyDescent="0.2">
      <c r="A1357" s="7"/>
      <c r="B1357" s="18"/>
      <c r="E1357" s="2"/>
      <c r="F1357" s="2"/>
      <c r="H1357" s="2"/>
      <c r="I1357" s="2"/>
      <c r="J1357" s="2"/>
      <c r="N1357" s="9"/>
      <c r="O1357" s="7"/>
      <c r="P1357" s="7"/>
      <c r="Q1357" s="7"/>
      <c r="R1357" s="7"/>
      <c r="S1357" s="7"/>
      <c r="T1357" s="7"/>
      <c r="U1357" s="7"/>
      <c r="V1357" s="7"/>
      <c r="W1357" s="7"/>
      <c r="X1357" s="7"/>
    </row>
    <row r="1358" spans="1:24" s="1" customFormat="1" ht="23.25" customHeight="1" x14ac:dyDescent="0.2">
      <c r="A1358" s="7"/>
      <c r="B1358" s="18"/>
      <c r="D1358" s="2"/>
      <c r="E1358" s="2"/>
      <c r="F1358" s="2"/>
      <c r="H1358" s="2"/>
      <c r="I1358" s="2"/>
      <c r="J1358" s="2"/>
      <c r="N1358" s="9"/>
      <c r="O1358" s="7"/>
      <c r="P1358" s="7"/>
      <c r="Q1358" s="7"/>
      <c r="R1358" s="7"/>
      <c r="S1358" s="7"/>
      <c r="T1358" s="7"/>
      <c r="U1358" s="7"/>
      <c r="V1358" s="7"/>
      <c r="W1358" s="7"/>
      <c r="X1358" s="7"/>
    </row>
    <row r="1360" spans="1:24" s="1" customFormat="1" x14ac:dyDescent="0.2">
      <c r="A1360" s="7"/>
      <c r="B1360" s="18"/>
      <c r="D1360" s="2"/>
      <c r="F1360" s="2"/>
      <c r="H1360" s="2"/>
      <c r="I1360" s="2"/>
      <c r="N1360" s="9"/>
      <c r="O1360" s="7"/>
      <c r="P1360" s="7"/>
      <c r="Q1360" s="7"/>
      <c r="R1360" s="7"/>
      <c r="S1360" s="7"/>
      <c r="T1360" s="7"/>
      <c r="U1360" s="7"/>
      <c r="V1360" s="7"/>
      <c r="W1360" s="7"/>
      <c r="X1360" s="7"/>
    </row>
    <row r="1361" spans="1:24" s="1" customFormat="1" x14ac:dyDescent="0.2">
      <c r="A1361" s="7"/>
      <c r="B1361" s="18"/>
      <c r="E1361" s="2"/>
      <c r="F1361" s="2"/>
      <c r="H1361" s="2"/>
      <c r="I1361" s="2"/>
      <c r="J1361" s="2"/>
      <c r="N1361" s="9"/>
      <c r="O1361" s="7"/>
      <c r="P1361" s="7"/>
      <c r="Q1361" s="7"/>
      <c r="R1361" s="7"/>
      <c r="S1361" s="7"/>
      <c r="T1361" s="7"/>
      <c r="U1361" s="7"/>
      <c r="V1361" s="7"/>
      <c r="W1361" s="7"/>
      <c r="X1361" s="7"/>
    </row>
    <row r="1365" spans="1:24" s="1" customFormat="1" x14ac:dyDescent="0.2">
      <c r="A1365" s="7"/>
      <c r="B1365" s="18"/>
      <c r="D1365" s="2"/>
      <c r="F1365" s="2"/>
      <c r="H1365" s="2"/>
      <c r="I1365" s="2"/>
      <c r="N1365" s="9"/>
      <c r="O1365" s="7"/>
      <c r="P1365" s="7"/>
      <c r="Q1365" s="7"/>
      <c r="R1365" s="7"/>
      <c r="S1365" s="7"/>
      <c r="T1365" s="7"/>
      <c r="U1365" s="7"/>
      <c r="V1365" s="7"/>
      <c r="W1365" s="7"/>
      <c r="X1365" s="7"/>
    </row>
    <row r="1366" spans="1:24" s="1" customFormat="1" x14ac:dyDescent="0.2">
      <c r="A1366" s="7"/>
      <c r="B1366" s="18"/>
      <c r="E1366" s="2"/>
      <c r="F1366" s="2"/>
      <c r="H1366" s="2"/>
      <c r="I1366" s="2"/>
      <c r="J1366" s="2"/>
      <c r="N1366" s="9"/>
      <c r="O1366" s="7"/>
      <c r="P1366" s="7"/>
      <c r="Q1366" s="7"/>
      <c r="R1366" s="7"/>
      <c r="S1366" s="7"/>
      <c r="T1366" s="7"/>
      <c r="U1366" s="7"/>
      <c r="V1366" s="7"/>
      <c r="W1366" s="7"/>
      <c r="X1366" s="7"/>
    </row>
    <row r="1368" spans="1:24" s="1" customFormat="1" ht="27" customHeight="1" x14ac:dyDescent="0.2">
      <c r="A1368" s="7"/>
      <c r="B1368" s="18"/>
      <c r="D1368" s="2"/>
      <c r="E1368" s="2"/>
      <c r="F1368" s="2"/>
      <c r="H1368" s="2"/>
      <c r="I1368" s="2"/>
      <c r="J1368" s="2"/>
      <c r="N1368" s="9"/>
      <c r="O1368" s="7"/>
      <c r="P1368" s="7"/>
      <c r="Q1368" s="7"/>
      <c r="R1368" s="7"/>
      <c r="S1368" s="7"/>
      <c r="T1368" s="7"/>
      <c r="U1368" s="7"/>
      <c r="V1368" s="7"/>
      <c r="W1368" s="7"/>
      <c r="X1368" s="7"/>
    </row>
    <row r="1370" spans="1:24" s="1" customFormat="1" x14ac:dyDescent="0.2">
      <c r="A1370" s="7"/>
      <c r="B1370" s="18"/>
      <c r="D1370" s="2"/>
      <c r="F1370" s="2"/>
      <c r="H1370" s="2"/>
      <c r="I1370" s="2"/>
      <c r="N1370" s="9"/>
      <c r="O1370" s="7"/>
      <c r="P1370" s="7"/>
      <c r="Q1370" s="7"/>
      <c r="R1370" s="7"/>
      <c r="S1370" s="7"/>
      <c r="T1370" s="7"/>
      <c r="U1370" s="7"/>
      <c r="V1370" s="7"/>
      <c r="W1370" s="7"/>
      <c r="X1370" s="7"/>
    </row>
    <row r="1371" spans="1:24" s="1" customFormat="1" x14ac:dyDescent="0.2">
      <c r="A1371" s="7"/>
      <c r="B1371" s="18"/>
      <c r="E1371" s="2"/>
      <c r="F1371" s="2"/>
      <c r="H1371" s="2"/>
      <c r="I1371" s="2"/>
      <c r="J1371" s="2"/>
      <c r="N1371" s="9"/>
      <c r="O1371" s="7"/>
      <c r="P1371" s="7"/>
      <c r="Q1371" s="7"/>
      <c r="R1371" s="7"/>
      <c r="S1371" s="7"/>
      <c r="T1371" s="7"/>
      <c r="U1371" s="7"/>
      <c r="V1371" s="7"/>
      <c r="W1371" s="7"/>
      <c r="X1371" s="7"/>
    </row>
    <row r="1375" spans="1:24" s="1" customFormat="1" x14ac:dyDescent="0.2">
      <c r="A1375" s="7"/>
      <c r="B1375" s="18"/>
      <c r="D1375" s="2"/>
      <c r="F1375" s="2"/>
      <c r="H1375" s="2"/>
      <c r="I1375" s="2"/>
      <c r="N1375" s="9"/>
      <c r="O1375" s="7"/>
      <c r="P1375" s="7"/>
      <c r="Q1375" s="7"/>
      <c r="R1375" s="7"/>
      <c r="S1375" s="7"/>
      <c r="T1375" s="7"/>
      <c r="U1375" s="7"/>
      <c r="V1375" s="7"/>
      <c r="W1375" s="7"/>
      <c r="X1375" s="7"/>
    </row>
    <row r="1376" spans="1:24" s="1" customFormat="1" x14ac:dyDescent="0.2">
      <c r="A1376" s="7"/>
      <c r="B1376" s="18"/>
      <c r="E1376" s="2"/>
      <c r="F1376" s="2"/>
      <c r="H1376" s="2"/>
      <c r="I1376" s="2"/>
      <c r="J1376" s="2"/>
      <c r="N1376" s="9"/>
      <c r="O1376" s="7"/>
      <c r="P1376" s="7"/>
      <c r="Q1376" s="7"/>
      <c r="R1376" s="7"/>
      <c r="S1376" s="7"/>
      <c r="T1376" s="7"/>
      <c r="U1376" s="7"/>
      <c r="V1376" s="7"/>
      <c r="W1376" s="7"/>
      <c r="X1376" s="7"/>
    </row>
    <row r="1378" spans="1:24" s="1" customFormat="1" ht="53.25" customHeight="1" x14ac:dyDescent="0.2">
      <c r="A1378" s="7"/>
      <c r="B1378" s="18"/>
      <c r="D1378" s="2"/>
      <c r="F1378" s="2"/>
      <c r="H1378" s="2"/>
      <c r="I1378" s="2"/>
      <c r="N1378" s="9"/>
      <c r="O1378" s="7"/>
      <c r="P1378" s="7"/>
      <c r="Q1378" s="7"/>
      <c r="R1378" s="7"/>
      <c r="S1378" s="7"/>
      <c r="T1378" s="7"/>
      <c r="U1378" s="7"/>
      <c r="V1378" s="7"/>
      <c r="W1378" s="7"/>
      <c r="X1378" s="7"/>
    </row>
    <row r="1379" spans="1:24" s="1" customFormat="1" x14ac:dyDescent="0.2">
      <c r="A1379" s="7"/>
      <c r="B1379" s="18"/>
      <c r="E1379" s="2"/>
      <c r="F1379" s="2"/>
      <c r="H1379" s="2"/>
      <c r="I1379" s="2"/>
      <c r="J1379" s="2"/>
      <c r="N1379" s="9"/>
      <c r="O1379" s="7"/>
      <c r="P1379" s="7"/>
      <c r="Q1379" s="7"/>
      <c r="R1379" s="7"/>
      <c r="S1379" s="7"/>
      <c r="T1379" s="7"/>
      <c r="U1379" s="7"/>
      <c r="V1379" s="7"/>
      <c r="W1379" s="7"/>
      <c r="X1379" s="7"/>
    </row>
    <row r="1380" spans="1:24" s="1" customFormat="1" x14ac:dyDescent="0.2">
      <c r="A1380" s="7"/>
      <c r="B1380" s="18"/>
      <c r="D1380" s="2"/>
      <c r="F1380" s="2"/>
      <c r="H1380" s="2"/>
      <c r="I1380" s="2"/>
      <c r="N1380" s="9"/>
      <c r="O1380" s="7"/>
      <c r="P1380" s="7"/>
      <c r="Q1380" s="7"/>
      <c r="R1380" s="7"/>
      <c r="S1380" s="7"/>
      <c r="T1380" s="7"/>
      <c r="U1380" s="7"/>
      <c r="V1380" s="7"/>
      <c r="W1380" s="7"/>
      <c r="X1380" s="7"/>
    </row>
    <row r="1381" spans="1:24" s="1" customFormat="1" x14ac:dyDescent="0.2">
      <c r="A1381" s="7"/>
      <c r="B1381" s="18"/>
      <c r="E1381" s="2"/>
      <c r="F1381" s="2"/>
      <c r="H1381" s="2"/>
      <c r="I1381" s="2"/>
      <c r="J1381" s="2"/>
      <c r="N1381" s="9"/>
      <c r="O1381" s="7"/>
      <c r="P1381" s="7"/>
      <c r="Q1381" s="7"/>
      <c r="R1381" s="7"/>
      <c r="S1381" s="7"/>
      <c r="T1381" s="7"/>
      <c r="U1381" s="7"/>
      <c r="V1381" s="7"/>
      <c r="W1381" s="7"/>
      <c r="X1381" s="7"/>
    </row>
    <row r="1382" spans="1:24" s="1" customFormat="1" ht="48" customHeight="1" x14ac:dyDescent="0.2">
      <c r="A1382" s="7"/>
      <c r="B1382" s="18"/>
      <c r="D1382" s="2"/>
      <c r="E1382" s="2"/>
      <c r="F1382" s="2"/>
      <c r="H1382" s="2"/>
      <c r="I1382" s="2"/>
      <c r="J1382" s="2"/>
      <c r="N1382" s="9"/>
      <c r="O1382" s="7"/>
      <c r="P1382" s="7"/>
      <c r="Q1382" s="7"/>
      <c r="R1382" s="7"/>
      <c r="S1382" s="7"/>
      <c r="T1382" s="7"/>
      <c r="U1382" s="7"/>
      <c r="V1382" s="7"/>
      <c r="W1382" s="7"/>
      <c r="X1382" s="7"/>
    </row>
    <row r="1383" spans="1:24" s="1" customFormat="1" x14ac:dyDescent="0.2">
      <c r="A1383" s="7"/>
      <c r="B1383" s="18"/>
      <c r="D1383" s="2"/>
      <c r="F1383" s="2"/>
      <c r="H1383" s="2"/>
      <c r="I1383" s="2"/>
      <c r="N1383" s="9"/>
      <c r="O1383" s="7"/>
      <c r="P1383" s="7"/>
      <c r="Q1383" s="7"/>
      <c r="R1383" s="7"/>
      <c r="S1383" s="7"/>
      <c r="T1383" s="7"/>
      <c r="U1383" s="7"/>
      <c r="V1383" s="7"/>
      <c r="W1383" s="7"/>
      <c r="X1383" s="7"/>
    </row>
    <row r="1384" spans="1:24" s="1" customFormat="1" x14ac:dyDescent="0.2">
      <c r="A1384" s="7"/>
      <c r="B1384" s="18"/>
      <c r="F1384" s="2"/>
      <c r="H1384" s="2"/>
      <c r="I1384" s="2"/>
      <c r="N1384" s="9"/>
      <c r="O1384" s="7"/>
      <c r="P1384" s="7"/>
      <c r="Q1384" s="7"/>
      <c r="R1384" s="7"/>
      <c r="S1384" s="7"/>
      <c r="T1384" s="7"/>
      <c r="U1384" s="7"/>
      <c r="V1384" s="7"/>
      <c r="W1384" s="7"/>
      <c r="X1384" s="7"/>
    </row>
    <row r="1385" spans="1:24" s="1" customFormat="1" x14ac:dyDescent="0.2">
      <c r="A1385" s="7"/>
      <c r="B1385" s="18"/>
      <c r="E1385" s="2"/>
      <c r="F1385" s="2"/>
      <c r="H1385" s="2"/>
      <c r="I1385" s="2"/>
      <c r="J1385" s="2"/>
      <c r="N1385" s="9"/>
      <c r="O1385" s="7"/>
      <c r="P1385" s="7"/>
      <c r="Q1385" s="7"/>
      <c r="R1385" s="7"/>
      <c r="S1385" s="7"/>
      <c r="T1385" s="7"/>
      <c r="U1385" s="7"/>
      <c r="V1385" s="7"/>
      <c r="W1385" s="7"/>
      <c r="X1385" s="7"/>
    </row>
    <row r="1386" spans="1:24" s="1" customFormat="1" ht="19.5" customHeight="1" x14ac:dyDescent="0.2">
      <c r="A1386" s="7"/>
      <c r="B1386" s="18"/>
      <c r="D1386" s="2"/>
      <c r="E1386" s="2"/>
      <c r="F1386" s="2"/>
      <c r="H1386" s="2"/>
      <c r="I1386" s="2"/>
      <c r="J1386" s="2"/>
      <c r="N1386" s="9"/>
      <c r="O1386" s="7"/>
      <c r="P1386" s="7"/>
      <c r="Q1386" s="7"/>
      <c r="R1386" s="7"/>
      <c r="S1386" s="7"/>
      <c r="T1386" s="7"/>
      <c r="U1386" s="7"/>
      <c r="V1386" s="7"/>
      <c r="W1386" s="7"/>
      <c r="X1386" s="7"/>
    </row>
    <row r="1391" spans="1:24" s="1" customFormat="1" ht="50.25" customHeight="1" x14ac:dyDescent="0.2">
      <c r="A1391" s="7"/>
      <c r="B1391" s="18"/>
      <c r="D1391" s="2"/>
      <c r="E1391" s="2"/>
      <c r="F1391" s="2"/>
      <c r="H1391" s="2"/>
      <c r="I1391" s="2"/>
      <c r="J1391" s="2"/>
      <c r="N1391" s="9"/>
      <c r="O1391" s="7"/>
      <c r="P1391" s="7"/>
      <c r="Q1391" s="7"/>
      <c r="R1391" s="7"/>
      <c r="S1391" s="7"/>
      <c r="T1391" s="7"/>
      <c r="U1391" s="7"/>
      <c r="V1391" s="7"/>
      <c r="W1391" s="7"/>
      <c r="X1391" s="7"/>
    </row>
    <row r="1392" spans="1:24" s="1" customFormat="1" x14ac:dyDescent="0.2">
      <c r="A1392" s="7"/>
      <c r="B1392" s="18"/>
      <c r="D1392" s="2"/>
      <c r="F1392" s="2"/>
      <c r="H1392" s="2"/>
      <c r="I1392" s="2"/>
      <c r="N1392" s="9"/>
      <c r="O1392" s="7"/>
      <c r="P1392" s="7"/>
      <c r="Q1392" s="7"/>
      <c r="R1392" s="7"/>
      <c r="S1392" s="7"/>
      <c r="T1392" s="7"/>
      <c r="U1392" s="7"/>
      <c r="V1392" s="7"/>
      <c r="W1392" s="7"/>
      <c r="X1392" s="7"/>
    </row>
    <row r="1393" spans="1:24" s="1" customFormat="1" x14ac:dyDescent="0.2">
      <c r="A1393" s="7"/>
      <c r="B1393" s="18"/>
      <c r="E1393" s="2"/>
      <c r="F1393" s="2"/>
      <c r="H1393" s="2"/>
      <c r="I1393" s="2"/>
      <c r="J1393" s="2"/>
      <c r="N1393" s="9"/>
      <c r="O1393" s="7"/>
      <c r="P1393" s="7"/>
      <c r="Q1393" s="7"/>
      <c r="R1393" s="7"/>
      <c r="S1393" s="7"/>
      <c r="T1393" s="7"/>
      <c r="U1393" s="7"/>
      <c r="V1393" s="7"/>
      <c r="W1393" s="7"/>
      <c r="X1393" s="7"/>
    </row>
    <row r="1396" spans="1:24" s="1" customFormat="1" ht="48.75" customHeight="1" x14ac:dyDescent="0.2">
      <c r="A1396" s="7"/>
      <c r="B1396" s="18"/>
      <c r="D1396" s="2"/>
      <c r="F1396" s="2"/>
      <c r="H1396" s="2"/>
      <c r="I1396" s="2"/>
      <c r="N1396" s="9"/>
      <c r="O1396" s="7"/>
      <c r="P1396" s="7"/>
      <c r="Q1396" s="7"/>
      <c r="R1396" s="7"/>
      <c r="S1396" s="7"/>
      <c r="T1396" s="7"/>
      <c r="U1396" s="7"/>
      <c r="V1396" s="7"/>
      <c r="W1396" s="7"/>
      <c r="X1396" s="7"/>
    </row>
    <row r="1397" spans="1:24" s="1" customFormat="1" x14ac:dyDescent="0.2">
      <c r="A1397" s="7"/>
      <c r="B1397" s="18"/>
      <c r="E1397" s="2"/>
      <c r="F1397" s="2"/>
      <c r="H1397" s="2"/>
      <c r="I1397" s="2"/>
      <c r="J1397" s="2"/>
      <c r="N1397" s="9"/>
      <c r="O1397" s="7"/>
      <c r="P1397" s="7"/>
      <c r="Q1397" s="7"/>
      <c r="R1397" s="7"/>
      <c r="S1397" s="7"/>
      <c r="T1397" s="7"/>
      <c r="U1397" s="7"/>
      <c r="V1397" s="7"/>
      <c r="W1397" s="7"/>
      <c r="X1397" s="7"/>
    </row>
    <row r="1401" spans="1:24" s="1" customFormat="1" ht="54.75" customHeight="1" x14ac:dyDescent="0.2">
      <c r="A1401" s="7"/>
      <c r="B1401" s="18"/>
      <c r="D1401" s="2"/>
      <c r="E1401" s="2"/>
      <c r="F1401" s="2"/>
      <c r="H1401" s="2"/>
      <c r="I1401" s="2"/>
      <c r="J1401" s="2"/>
      <c r="N1401" s="9"/>
      <c r="O1401" s="7"/>
      <c r="P1401" s="7"/>
      <c r="Q1401" s="7"/>
      <c r="R1401" s="7"/>
      <c r="S1401" s="7"/>
      <c r="T1401" s="7"/>
      <c r="U1401" s="7"/>
      <c r="V1401" s="7"/>
      <c r="W1401" s="7"/>
      <c r="X1401" s="7"/>
    </row>
    <row r="1404" spans="1:24" s="1" customFormat="1" ht="36.75" customHeight="1" x14ac:dyDescent="0.2">
      <c r="A1404" s="7"/>
      <c r="B1404" s="18"/>
      <c r="D1404" s="2"/>
      <c r="F1404" s="2"/>
      <c r="H1404" s="2"/>
      <c r="I1404" s="2"/>
      <c r="N1404" s="9"/>
      <c r="O1404" s="7"/>
      <c r="P1404" s="7"/>
      <c r="Q1404" s="7"/>
      <c r="R1404" s="7"/>
      <c r="S1404" s="7"/>
      <c r="T1404" s="7"/>
      <c r="U1404" s="7"/>
      <c r="V1404" s="7"/>
      <c r="W1404" s="7"/>
      <c r="X1404" s="7"/>
    </row>
    <row r="1405" spans="1:24" s="1" customFormat="1" x14ac:dyDescent="0.2">
      <c r="A1405" s="7"/>
      <c r="B1405" s="18"/>
      <c r="E1405" s="2"/>
      <c r="F1405" s="2"/>
      <c r="H1405" s="2"/>
      <c r="I1405" s="2"/>
      <c r="J1405" s="2"/>
      <c r="N1405" s="9"/>
      <c r="O1405" s="7"/>
      <c r="P1405" s="7"/>
      <c r="Q1405" s="7"/>
      <c r="R1405" s="7"/>
      <c r="S1405" s="7"/>
      <c r="T1405" s="7"/>
      <c r="U1405" s="7"/>
      <c r="V1405" s="7"/>
      <c r="W1405" s="7"/>
      <c r="X1405" s="7"/>
    </row>
    <row r="1406" spans="1:24" s="1" customFormat="1" ht="49.5" customHeight="1" x14ac:dyDescent="0.2">
      <c r="A1406" s="7"/>
      <c r="B1406" s="18"/>
      <c r="D1406" s="2"/>
      <c r="F1406" s="2"/>
      <c r="H1406" s="2"/>
      <c r="I1406" s="2"/>
      <c r="N1406" s="9"/>
      <c r="O1406" s="7"/>
      <c r="P1406" s="7"/>
      <c r="Q1406" s="7"/>
      <c r="R1406" s="7"/>
      <c r="S1406" s="7"/>
      <c r="T1406" s="7"/>
      <c r="U1406" s="7"/>
      <c r="V1406" s="7"/>
      <c r="W1406" s="7"/>
      <c r="X1406" s="7"/>
    </row>
    <row r="1407" spans="1:24" s="1" customFormat="1" x14ac:dyDescent="0.2">
      <c r="A1407" s="7"/>
      <c r="B1407" s="18"/>
      <c r="F1407" s="2"/>
      <c r="H1407" s="2"/>
      <c r="I1407" s="2"/>
      <c r="N1407" s="9"/>
      <c r="O1407" s="7"/>
      <c r="P1407" s="7"/>
      <c r="Q1407" s="7"/>
      <c r="R1407" s="7"/>
      <c r="S1407" s="7"/>
      <c r="T1407" s="7"/>
      <c r="U1407" s="7"/>
      <c r="V1407" s="7"/>
      <c r="W1407" s="7"/>
      <c r="X1407" s="7"/>
    </row>
    <row r="1408" spans="1:24" s="1" customFormat="1" x14ac:dyDescent="0.2">
      <c r="A1408" s="7"/>
      <c r="B1408" s="18"/>
      <c r="F1408" s="2"/>
      <c r="H1408" s="2"/>
      <c r="I1408" s="2"/>
      <c r="N1408" s="9"/>
      <c r="O1408" s="7"/>
      <c r="P1408" s="7"/>
      <c r="Q1408" s="7"/>
      <c r="R1408" s="7"/>
      <c r="S1408" s="7"/>
      <c r="T1408" s="7"/>
      <c r="U1408" s="7"/>
      <c r="V1408" s="7"/>
      <c r="W1408" s="7"/>
      <c r="X1408" s="7"/>
    </row>
    <row r="1409" spans="1:24" s="1" customFormat="1" ht="32.25" customHeight="1" x14ac:dyDescent="0.2">
      <c r="A1409" s="7"/>
      <c r="B1409" s="18"/>
      <c r="F1409" s="2"/>
      <c r="H1409" s="2"/>
      <c r="I1409" s="2"/>
      <c r="N1409" s="9"/>
      <c r="O1409" s="7"/>
      <c r="P1409" s="7"/>
      <c r="Q1409" s="7"/>
      <c r="R1409" s="7"/>
      <c r="S1409" s="7"/>
      <c r="T1409" s="7"/>
      <c r="U1409" s="7"/>
      <c r="V1409" s="7"/>
      <c r="W1409" s="7"/>
      <c r="X1409" s="7"/>
    </row>
    <row r="1410" spans="1:24" s="1" customFormat="1" ht="51" customHeight="1" x14ac:dyDescent="0.2">
      <c r="A1410" s="7"/>
      <c r="B1410" s="18"/>
      <c r="E1410" s="2"/>
      <c r="F1410" s="2"/>
      <c r="H1410" s="2"/>
      <c r="I1410" s="2"/>
      <c r="J1410" s="2"/>
      <c r="N1410" s="9"/>
      <c r="O1410" s="7"/>
      <c r="P1410" s="7"/>
      <c r="Q1410" s="7"/>
      <c r="R1410" s="7"/>
      <c r="S1410" s="7"/>
      <c r="T1410" s="7"/>
      <c r="U1410" s="7"/>
      <c r="V1410" s="7"/>
      <c r="W1410" s="7"/>
      <c r="X1410" s="7"/>
    </row>
    <row r="1411" spans="1:24" s="1" customFormat="1" x14ac:dyDescent="0.2">
      <c r="A1411" s="7"/>
      <c r="B1411" s="18"/>
      <c r="D1411" s="2"/>
      <c r="F1411" s="2"/>
      <c r="H1411" s="2"/>
      <c r="I1411" s="2"/>
      <c r="N1411" s="9"/>
      <c r="O1411" s="7"/>
      <c r="P1411" s="7"/>
      <c r="Q1411" s="7"/>
      <c r="R1411" s="7"/>
      <c r="S1411" s="7"/>
      <c r="T1411" s="7"/>
      <c r="U1411" s="7"/>
      <c r="V1411" s="7"/>
      <c r="W1411" s="7"/>
      <c r="X1411" s="7"/>
    </row>
    <row r="1412" spans="1:24" s="1" customFormat="1" x14ac:dyDescent="0.2">
      <c r="A1412" s="7"/>
      <c r="B1412" s="18"/>
      <c r="E1412" s="2"/>
      <c r="F1412" s="2"/>
      <c r="H1412" s="2"/>
      <c r="I1412" s="2"/>
      <c r="J1412" s="2"/>
      <c r="N1412" s="9"/>
      <c r="O1412" s="7"/>
      <c r="P1412" s="7"/>
      <c r="Q1412" s="7"/>
      <c r="R1412" s="7"/>
      <c r="S1412" s="7"/>
      <c r="T1412" s="7"/>
      <c r="U1412" s="7"/>
      <c r="V1412" s="7"/>
      <c r="W1412" s="7"/>
      <c r="X1412" s="7"/>
    </row>
    <row r="1413" spans="1:24" s="1" customFormat="1" x14ac:dyDescent="0.2">
      <c r="A1413" s="7"/>
      <c r="B1413" s="18"/>
      <c r="D1413" s="2"/>
      <c r="F1413" s="2"/>
      <c r="H1413" s="2"/>
      <c r="I1413" s="2"/>
      <c r="N1413" s="9"/>
      <c r="O1413" s="7"/>
      <c r="P1413" s="7"/>
      <c r="Q1413" s="7"/>
      <c r="R1413" s="7"/>
      <c r="S1413" s="7"/>
      <c r="T1413" s="7"/>
      <c r="U1413" s="7"/>
      <c r="V1413" s="7"/>
      <c r="W1413" s="7"/>
      <c r="X1413" s="7"/>
    </row>
    <row r="1414" spans="1:24" s="1" customFormat="1" x14ac:dyDescent="0.2">
      <c r="A1414" s="7"/>
      <c r="B1414" s="18"/>
      <c r="F1414" s="2"/>
      <c r="H1414" s="2"/>
      <c r="I1414" s="2"/>
      <c r="N1414" s="9"/>
      <c r="O1414" s="7"/>
      <c r="P1414" s="7"/>
      <c r="Q1414" s="7"/>
      <c r="R1414" s="7"/>
      <c r="S1414" s="7"/>
      <c r="T1414" s="7"/>
      <c r="U1414" s="7"/>
      <c r="V1414" s="7"/>
      <c r="W1414" s="7"/>
      <c r="X1414" s="7"/>
    </row>
    <row r="1415" spans="1:24" s="1" customFormat="1" x14ac:dyDescent="0.2">
      <c r="A1415" s="7"/>
      <c r="B1415" s="18"/>
      <c r="E1415" s="2"/>
      <c r="F1415" s="2"/>
      <c r="H1415" s="2"/>
      <c r="I1415" s="2"/>
      <c r="J1415" s="2"/>
      <c r="N1415" s="9"/>
      <c r="O1415" s="7"/>
      <c r="P1415" s="7"/>
      <c r="Q1415" s="7"/>
      <c r="R1415" s="7"/>
      <c r="S1415" s="7"/>
      <c r="T1415" s="7"/>
      <c r="U1415" s="7"/>
      <c r="V1415" s="7"/>
      <c r="W1415" s="7"/>
      <c r="X1415" s="7"/>
    </row>
    <row r="1416" spans="1:24" s="1" customFormat="1" x14ac:dyDescent="0.2">
      <c r="A1416" s="7"/>
      <c r="B1416" s="18"/>
      <c r="D1416" s="2"/>
      <c r="F1416" s="2"/>
      <c r="H1416" s="2"/>
      <c r="I1416" s="2"/>
      <c r="N1416" s="9"/>
      <c r="O1416" s="7"/>
      <c r="P1416" s="7"/>
      <c r="Q1416" s="7"/>
      <c r="R1416" s="7"/>
      <c r="S1416" s="7"/>
      <c r="T1416" s="7"/>
      <c r="U1416" s="7"/>
      <c r="V1416" s="7"/>
      <c r="W1416" s="7"/>
      <c r="X1416" s="7"/>
    </row>
    <row r="1417" spans="1:24" s="1" customFormat="1" x14ac:dyDescent="0.2">
      <c r="A1417" s="7"/>
      <c r="B1417" s="18"/>
      <c r="E1417" s="2"/>
      <c r="F1417" s="2"/>
      <c r="H1417" s="2"/>
      <c r="I1417" s="2"/>
      <c r="J1417" s="2"/>
      <c r="N1417" s="9"/>
      <c r="O1417" s="7"/>
      <c r="P1417" s="7"/>
      <c r="Q1417" s="7"/>
      <c r="R1417" s="7"/>
      <c r="S1417" s="7"/>
      <c r="T1417" s="7"/>
      <c r="U1417" s="7"/>
      <c r="V1417" s="7"/>
      <c r="W1417" s="7"/>
      <c r="X1417" s="7"/>
    </row>
    <row r="1418" spans="1:24" s="1" customFormat="1" ht="50.25" customHeight="1" x14ac:dyDescent="0.2">
      <c r="A1418" s="7"/>
      <c r="B1418" s="18"/>
      <c r="D1418" s="2"/>
      <c r="E1418" s="2"/>
      <c r="F1418" s="2"/>
      <c r="H1418" s="2"/>
      <c r="I1418" s="2"/>
      <c r="J1418" s="2"/>
      <c r="N1418" s="9"/>
      <c r="O1418" s="7"/>
      <c r="P1418" s="7"/>
      <c r="Q1418" s="7"/>
      <c r="R1418" s="7"/>
      <c r="S1418" s="7"/>
      <c r="T1418" s="7"/>
      <c r="U1418" s="7"/>
      <c r="V1418" s="7"/>
      <c r="W1418" s="7"/>
      <c r="X1418" s="7"/>
    </row>
    <row r="1422" spans="1:24" s="1" customFormat="1" ht="36" customHeight="1" x14ac:dyDescent="0.2">
      <c r="A1422" s="7"/>
      <c r="B1422" s="18"/>
      <c r="D1422" s="2"/>
      <c r="F1422" s="2"/>
      <c r="H1422" s="2"/>
      <c r="I1422" s="2"/>
      <c r="N1422" s="9"/>
      <c r="O1422" s="7"/>
      <c r="P1422" s="7"/>
      <c r="Q1422" s="7"/>
      <c r="R1422" s="7"/>
      <c r="S1422" s="7"/>
      <c r="T1422" s="7"/>
      <c r="U1422" s="7"/>
      <c r="V1422" s="7"/>
      <c r="W1422" s="7"/>
      <c r="X1422" s="7"/>
    </row>
    <row r="1423" spans="1:24" s="1" customFormat="1" x14ac:dyDescent="0.2">
      <c r="A1423" s="7"/>
      <c r="B1423" s="18"/>
      <c r="E1423" s="2"/>
      <c r="F1423" s="2"/>
      <c r="H1423" s="2"/>
      <c r="I1423" s="2"/>
      <c r="J1423" s="2"/>
      <c r="N1423" s="9"/>
      <c r="O1423" s="7"/>
      <c r="P1423" s="7"/>
      <c r="Q1423" s="7"/>
      <c r="R1423" s="7"/>
      <c r="S1423" s="7"/>
      <c r="T1423" s="7"/>
      <c r="U1423" s="7"/>
      <c r="V1423" s="7"/>
      <c r="W1423" s="7"/>
      <c r="X1423" s="7"/>
    </row>
    <row r="1424" spans="1:24" s="1" customFormat="1" x14ac:dyDescent="0.2">
      <c r="A1424" s="7"/>
      <c r="B1424" s="18"/>
      <c r="D1424" s="2"/>
      <c r="F1424" s="2"/>
      <c r="H1424" s="2"/>
      <c r="I1424" s="2"/>
      <c r="N1424" s="9"/>
      <c r="O1424" s="7"/>
      <c r="P1424" s="7"/>
      <c r="Q1424" s="7"/>
      <c r="R1424" s="7"/>
      <c r="S1424" s="7"/>
      <c r="T1424" s="7"/>
      <c r="U1424" s="7"/>
      <c r="V1424" s="7"/>
      <c r="W1424" s="7"/>
      <c r="X1424" s="7"/>
    </row>
    <row r="1425" spans="1:24" s="1" customFormat="1" x14ac:dyDescent="0.2">
      <c r="A1425" s="7"/>
      <c r="B1425" s="18"/>
      <c r="E1425" s="2"/>
      <c r="F1425" s="2"/>
      <c r="H1425" s="2"/>
      <c r="I1425" s="2"/>
      <c r="J1425" s="2"/>
      <c r="N1425" s="9"/>
      <c r="O1425" s="7"/>
      <c r="P1425" s="7"/>
      <c r="Q1425" s="7"/>
      <c r="R1425" s="7"/>
      <c r="S1425" s="7"/>
      <c r="T1425" s="7"/>
      <c r="U1425" s="7"/>
      <c r="V1425" s="7"/>
      <c r="W1425" s="7"/>
      <c r="X1425" s="7"/>
    </row>
    <row r="1427" spans="1:24" s="1" customFormat="1" x14ac:dyDescent="0.2">
      <c r="A1427" s="7"/>
      <c r="B1427" s="18"/>
      <c r="D1427" s="2"/>
      <c r="F1427" s="2"/>
      <c r="H1427" s="2"/>
      <c r="I1427" s="2"/>
      <c r="N1427" s="9"/>
      <c r="O1427" s="7"/>
      <c r="P1427" s="7"/>
      <c r="Q1427" s="7"/>
      <c r="R1427" s="7"/>
      <c r="S1427" s="7"/>
      <c r="T1427" s="7"/>
      <c r="U1427" s="7"/>
      <c r="V1427" s="7"/>
      <c r="W1427" s="7"/>
      <c r="X1427" s="7"/>
    </row>
    <row r="1428" spans="1:24" s="1" customFormat="1" x14ac:dyDescent="0.2">
      <c r="A1428" s="7"/>
      <c r="B1428" s="18"/>
      <c r="F1428" s="2"/>
      <c r="H1428" s="2"/>
      <c r="I1428" s="2"/>
      <c r="N1428" s="9"/>
      <c r="O1428" s="7"/>
      <c r="P1428" s="7"/>
      <c r="Q1428" s="7"/>
      <c r="R1428" s="7"/>
      <c r="S1428" s="7"/>
      <c r="T1428" s="7"/>
      <c r="U1428" s="7"/>
      <c r="V1428" s="7"/>
      <c r="W1428" s="7"/>
      <c r="X1428" s="7"/>
    </row>
    <row r="1429" spans="1:24" s="1" customFormat="1" x14ac:dyDescent="0.2">
      <c r="A1429" s="7"/>
      <c r="B1429" s="18"/>
      <c r="F1429" s="2"/>
      <c r="H1429" s="2"/>
      <c r="I1429" s="2"/>
      <c r="N1429" s="9"/>
      <c r="O1429" s="7"/>
      <c r="P1429" s="7"/>
      <c r="Q1429" s="7"/>
      <c r="R1429" s="7"/>
      <c r="S1429" s="7"/>
      <c r="T1429" s="7"/>
      <c r="U1429" s="7"/>
      <c r="V1429" s="7"/>
      <c r="W1429" s="7"/>
      <c r="X1429" s="7"/>
    </row>
    <row r="1430" spans="1:24" s="1" customFormat="1" ht="24" customHeight="1" x14ac:dyDescent="0.2">
      <c r="A1430" s="7"/>
      <c r="B1430" s="18"/>
      <c r="F1430" s="2"/>
      <c r="H1430" s="2"/>
      <c r="I1430" s="2"/>
      <c r="N1430" s="9"/>
      <c r="O1430" s="7"/>
      <c r="P1430" s="7"/>
      <c r="Q1430" s="7"/>
      <c r="R1430" s="7"/>
      <c r="S1430" s="7"/>
      <c r="T1430" s="7"/>
      <c r="U1430" s="7"/>
      <c r="V1430" s="7"/>
      <c r="W1430" s="7"/>
      <c r="X1430" s="7"/>
    </row>
    <row r="1431" spans="1:24" s="1" customFormat="1" x14ac:dyDescent="0.2">
      <c r="A1431" s="7"/>
      <c r="B1431" s="18"/>
      <c r="F1431" s="2"/>
      <c r="H1431" s="2"/>
      <c r="I1431" s="2"/>
      <c r="N1431" s="9"/>
      <c r="O1431" s="7"/>
      <c r="P1431" s="7"/>
      <c r="Q1431" s="7"/>
      <c r="R1431" s="7"/>
      <c r="S1431" s="7"/>
      <c r="T1431" s="7"/>
      <c r="U1431" s="7"/>
      <c r="V1431" s="7"/>
      <c r="W1431" s="7"/>
      <c r="X1431" s="7"/>
    </row>
    <row r="1432" spans="1:24" s="1" customFormat="1" ht="113.25" customHeight="1" x14ac:dyDescent="0.2">
      <c r="A1432" s="7"/>
      <c r="B1432" s="18"/>
      <c r="F1432" s="2"/>
      <c r="H1432" s="2"/>
      <c r="I1432" s="2"/>
      <c r="N1432" s="9"/>
      <c r="O1432" s="7"/>
      <c r="P1432" s="7"/>
      <c r="Q1432" s="7"/>
      <c r="R1432" s="7"/>
      <c r="S1432" s="7"/>
      <c r="T1432" s="7"/>
      <c r="U1432" s="7"/>
      <c r="V1432" s="7"/>
      <c r="W1432" s="7"/>
      <c r="X1432" s="7"/>
    </row>
    <row r="1433" spans="1:24" s="1" customFormat="1" ht="27.75" customHeight="1" x14ac:dyDescent="0.2">
      <c r="A1433" s="7"/>
      <c r="B1433" s="18"/>
      <c r="E1433" s="2"/>
      <c r="F1433" s="2"/>
      <c r="H1433" s="2"/>
      <c r="I1433" s="2"/>
      <c r="J1433" s="2"/>
      <c r="N1433" s="9"/>
      <c r="O1433" s="7"/>
      <c r="P1433" s="7"/>
      <c r="Q1433" s="7"/>
      <c r="R1433" s="7"/>
      <c r="S1433" s="7"/>
      <c r="T1433" s="7"/>
      <c r="U1433" s="7"/>
      <c r="V1433" s="7"/>
      <c r="W1433" s="7"/>
      <c r="X1433" s="7"/>
    </row>
    <row r="1434" spans="1:24" s="1" customFormat="1" ht="51.75" customHeight="1" x14ac:dyDescent="0.2">
      <c r="A1434" s="7"/>
      <c r="B1434" s="18"/>
      <c r="D1434" s="2"/>
      <c r="F1434" s="2"/>
      <c r="H1434" s="2"/>
      <c r="I1434" s="2"/>
      <c r="N1434" s="9"/>
      <c r="O1434" s="7"/>
      <c r="P1434" s="7"/>
      <c r="Q1434" s="7"/>
      <c r="R1434" s="7"/>
      <c r="S1434" s="7"/>
      <c r="T1434" s="7"/>
      <c r="U1434" s="7"/>
      <c r="V1434" s="7"/>
      <c r="W1434" s="7"/>
      <c r="X1434" s="7"/>
    </row>
    <row r="1435" spans="1:24" s="1" customFormat="1" ht="47.25" customHeight="1" x14ac:dyDescent="0.2">
      <c r="A1435" s="7"/>
      <c r="B1435" s="18"/>
      <c r="E1435" s="2"/>
      <c r="F1435" s="2"/>
      <c r="H1435" s="2"/>
      <c r="I1435" s="2"/>
      <c r="J1435" s="2"/>
      <c r="N1435" s="9"/>
      <c r="O1435" s="7"/>
      <c r="P1435" s="7"/>
      <c r="Q1435" s="7"/>
      <c r="R1435" s="7"/>
      <c r="S1435" s="7"/>
      <c r="T1435" s="7"/>
      <c r="U1435" s="7"/>
      <c r="V1435" s="7"/>
      <c r="W1435" s="7"/>
      <c r="X1435" s="7"/>
    </row>
    <row r="1436" spans="1:24" s="1" customFormat="1" x14ac:dyDescent="0.2">
      <c r="A1436" s="7"/>
      <c r="B1436" s="18"/>
      <c r="D1436" s="2"/>
      <c r="F1436" s="2"/>
      <c r="H1436" s="2"/>
      <c r="I1436" s="2"/>
      <c r="N1436" s="9"/>
      <c r="O1436" s="7"/>
      <c r="P1436" s="7"/>
      <c r="Q1436" s="7"/>
      <c r="R1436" s="7"/>
      <c r="S1436" s="7"/>
      <c r="T1436" s="7"/>
      <c r="U1436" s="7"/>
      <c r="V1436" s="7"/>
      <c r="W1436" s="7"/>
      <c r="X1436" s="7"/>
    </row>
    <row r="1437" spans="1:24" s="1" customFormat="1" ht="37.5" customHeight="1" x14ac:dyDescent="0.2">
      <c r="A1437" s="7"/>
      <c r="B1437" s="18"/>
      <c r="F1437" s="2"/>
      <c r="H1437" s="2"/>
      <c r="I1437" s="2"/>
      <c r="N1437" s="9"/>
      <c r="O1437" s="7"/>
      <c r="P1437" s="7"/>
      <c r="Q1437" s="7"/>
      <c r="R1437" s="7"/>
      <c r="S1437" s="7"/>
      <c r="T1437" s="7"/>
      <c r="U1437" s="7"/>
      <c r="V1437" s="7"/>
      <c r="W1437" s="7"/>
      <c r="X1437" s="7"/>
    </row>
    <row r="1438" spans="1:24" s="1" customFormat="1" x14ac:dyDescent="0.2">
      <c r="A1438" s="7"/>
      <c r="B1438" s="18"/>
      <c r="E1438" s="2"/>
      <c r="F1438" s="2"/>
      <c r="H1438" s="2"/>
      <c r="I1438" s="2"/>
      <c r="J1438" s="2"/>
      <c r="N1438" s="9"/>
      <c r="O1438" s="7"/>
      <c r="P1438" s="7"/>
      <c r="Q1438" s="7"/>
      <c r="R1438" s="7"/>
      <c r="S1438" s="7"/>
      <c r="T1438" s="7"/>
      <c r="U1438" s="7"/>
      <c r="V1438" s="7"/>
      <c r="W1438" s="7"/>
      <c r="X1438" s="7"/>
    </row>
    <row r="1439" spans="1:24" s="1" customFormat="1" ht="50.25" customHeight="1" x14ac:dyDescent="0.2">
      <c r="A1439" s="7"/>
      <c r="B1439" s="18"/>
      <c r="D1439" s="2"/>
      <c r="F1439" s="2"/>
      <c r="H1439" s="2"/>
      <c r="I1439" s="2"/>
      <c r="N1439" s="9"/>
      <c r="O1439" s="7"/>
      <c r="P1439" s="7"/>
      <c r="Q1439" s="7"/>
      <c r="R1439" s="7"/>
      <c r="S1439" s="7"/>
      <c r="T1439" s="7"/>
      <c r="U1439" s="7"/>
      <c r="V1439" s="7"/>
      <c r="W1439" s="7"/>
      <c r="X1439" s="7"/>
    </row>
    <row r="1440" spans="1:24" s="1" customFormat="1" ht="48" customHeight="1" x14ac:dyDescent="0.2">
      <c r="A1440" s="7"/>
      <c r="B1440" s="18"/>
      <c r="E1440" s="2"/>
      <c r="F1440" s="2"/>
      <c r="H1440" s="2"/>
      <c r="I1440" s="2"/>
      <c r="J1440" s="2"/>
      <c r="N1440" s="9"/>
      <c r="O1440" s="7"/>
      <c r="P1440" s="7"/>
      <c r="Q1440" s="7"/>
      <c r="R1440" s="7"/>
      <c r="S1440" s="7"/>
      <c r="T1440" s="7"/>
      <c r="U1440" s="7"/>
      <c r="V1440" s="7"/>
      <c r="W1440" s="7"/>
      <c r="X1440" s="7"/>
    </row>
    <row r="1442" spans="1:24" s="1" customFormat="1" ht="34.5" customHeight="1" x14ac:dyDescent="0.2">
      <c r="A1442" s="7"/>
      <c r="B1442" s="18"/>
      <c r="D1442" s="2"/>
      <c r="E1442" s="2"/>
      <c r="F1442" s="2"/>
      <c r="H1442" s="2"/>
      <c r="I1442" s="2"/>
      <c r="J1442" s="2"/>
      <c r="N1442" s="9"/>
      <c r="O1442" s="7"/>
      <c r="P1442" s="7"/>
      <c r="Q1442" s="7"/>
      <c r="R1442" s="7"/>
      <c r="S1442" s="7"/>
      <c r="T1442" s="7"/>
      <c r="U1442" s="7"/>
      <c r="V1442" s="7"/>
      <c r="W1442" s="7"/>
      <c r="X1442" s="7"/>
    </row>
    <row r="1445" spans="1:24" s="1" customFormat="1" x14ac:dyDescent="0.2">
      <c r="A1445" s="7"/>
      <c r="B1445" s="18"/>
      <c r="D1445" s="2"/>
      <c r="F1445" s="2"/>
      <c r="H1445" s="2"/>
      <c r="I1445" s="2"/>
      <c r="N1445" s="9"/>
      <c r="O1445" s="7"/>
      <c r="P1445" s="7"/>
      <c r="Q1445" s="7"/>
      <c r="R1445" s="7"/>
      <c r="S1445" s="7"/>
      <c r="T1445" s="7"/>
      <c r="U1445" s="7"/>
      <c r="V1445" s="7"/>
      <c r="W1445" s="7"/>
      <c r="X1445" s="7"/>
    </row>
    <row r="1446" spans="1:24" s="1" customFormat="1" x14ac:dyDescent="0.2">
      <c r="A1446" s="7"/>
      <c r="B1446" s="18"/>
      <c r="E1446" s="2"/>
      <c r="F1446" s="2"/>
      <c r="H1446" s="2"/>
      <c r="I1446" s="2"/>
      <c r="J1446" s="2"/>
      <c r="N1446" s="9"/>
      <c r="O1446" s="7"/>
      <c r="P1446" s="7"/>
      <c r="Q1446" s="7"/>
      <c r="R1446" s="7"/>
      <c r="S1446" s="7"/>
      <c r="T1446" s="7"/>
      <c r="U1446" s="7"/>
      <c r="V1446" s="7"/>
      <c r="W1446" s="7"/>
      <c r="X1446" s="7"/>
    </row>
    <row r="1448" spans="1:24" s="1" customFormat="1" ht="53.25" customHeight="1" x14ac:dyDescent="0.2">
      <c r="A1448" s="7"/>
      <c r="B1448" s="18"/>
      <c r="D1448" s="2"/>
      <c r="E1448" s="2"/>
      <c r="F1448" s="2"/>
      <c r="H1448" s="2"/>
      <c r="I1448" s="2"/>
      <c r="J1448" s="2"/>
      <c r="N1448" s="9"/>
      <c r="O1448" s="7"/>
      <c r="P1448" s="7"/>
      <c r="Q1448" s="7"/>
      <c r="R1448" s="7"/>
      <c r="S1448" s="7"/>
      <c r="T1448" s="7"/>
      <c r="U1448" s="7"/>
      <c r="V1448" s="7"/>
      <c r="W1448" s="7"/>
      <c r="X1448" s="7"/>
    </row>
    <row r="1449" spans="1:24" s="1" customFormat="1" x14ac:dyDescent="0.2">
      <c r="A1449" s="7"/>
      <c r="B1449" s="18"/>
      <c r="D1449" s="2"/>
      <c r="F1449" s="2"/>
      <c r="H1449" s="2"/>
      <c r="I1449" s="2"/>
      <c r="N1449" s="9"/>
      <c r="O1449" s="7"/>
      <c r="P1449" s="7"/>
      <c r="Q1449" s="7"/>
      <c r="R1449" s="7"/>
      <c r="S1449" s="7"/>
      <c r="T1449" s="7"/>
      <c r="U1449" s="7"/>
      <c r="V1449" s="7"/>
      <c r="W1449" s="7"/>
      <c r="X1449" s="7"/>
    </row>
    <row r="1450" spans="1:24" s="1" customFormat="1" ht="36.75" customHeight="1" x14ac:dyDescent="0.2">
      <c r="A1450" s="7"/>
      <c r="B1450" s="18"/>
      <c r="E1450" s="2"/>
      <c r="F1450" s="2"/>
      <c r="H1450" s="2"/>
      <c r="I1450" s="2"/>
      <c r="J1450" s="2"/>
      <c r="N1450" s="9"/>
      <c r="O1450" s="7"/>
      <c r="P1450" s="7"/>
      <c r="Q1450" s="7"/>
      <c r="R1450" s="7"/>
      <c r="S1450" s="7"/>
      <c r="T1450" s="7"/>
      <c r="U1450" s="7"/>
      <c r="V1450" s="7"/>
      <c r="W1450" s="7"/>
      <c r="X1450" s="7"/>
    </row>
    <row r="1453" spans="1:24" s="1" customFormat="1" ht="53.25" customHeight="1" x14ac:dyDescent="0.2">
      <c r="A1453" s="7"/>
      <c r="B1453" s="18"/>
      <c r="D1453" s="2"/>
      <c r="E1453" s="2"/>
      <c r="F1453" s="2"/>
      <c r="H1453" s="2"/>
      <c r="I1453" s="2"/>
      <c r="J1453" s="2"/>
      <c r="N1453" s="9"/>
      <c r="O1453" s="7"/>
      <c r="P1453" s="7"/>
      <c r="Q1453" s="7"/>
      <c r="R1453" s="7"/>
      <c r="S1453" s="7"/>
      <c r="T1453" s="7"/>
      <c r="U1453" s="7"/>
      <c r="V1453" s="7"/>
      <c r="W1453" s="7"/>
      <c r="X1453" s="7"/>
    </row>
    <row r="1454" spans="1:24" s="1" customFormat="1" ht="38.25" customHeight="1" x14ac:dyDescent="0.2">
      <c r="A1454" s="7"/>
      <c r="B1454" s="18"/>
      <c r="D1454" s="2"/>
      <c r="E1454" s="2"/>
      <c r="F1454" s="2"/>
      <c r="H1454" s="2"/>
      <c r="I1454" s="2"/>
      <c r="J1454" s="2"/>
      <c r="N1454" s="9"/>
      <c r="O1454" s="7"/>
      <c r="P1454" s="7"/>
      <c r="Q1454" s="7"/>
      <c r="R1454" s="7"/>
      <c r="S1454" s="7"/>
      <c r="T1454" s="7"/>
      <c r="U1454" s="7"/>
      <c r="V1454" s="7"/>
      <c r="W1454" s="7"/>
      <c r="X1454" s="7"/>
    </row>
    <row r="1455" spans="1:24" s="1" customFormat="1" ht="112.5" customHeight="1" x14ac:dyDescent="0.2">
      <c r="A1455" s="7"/>
      <c r="B1455" s="18"/>
      <c r="D1455" s="2"/>
      <c r="E1455" s="2"/>
      <c r="F1455" s="2"/>
      <c r="H1455" s="2"/>
      <c r="I1455" s="2"/>
      <c r="J1455" s="2"/>
      <c r="N1455" s="9"/>
      <c r="O1455" s="7"/>
      <c r="P1455" s="7"/>
      <c r="Q1455" s="7"/>
      <c r="R1455" s="7"/>
      <c r="S1455" s="7"/>
      <c r="T1455" s="7"/>
      <c r="U1455" s="7"/>
      <c r="V1455" s="7"/>
      <c r="W1455" s="7"/>
      <c r="X1455" s="7"/>
    </row>
    <row r="1456" spans="1:24" s="1" customFormat="1" ht="24" customHeight="1" x14ac:dyDescent="0.2">
      <c r="A1456" s="7"/>
      <c r="B1456" s="18"/>
      <c r="D1456" s="2"/>
      <c r="F1456" s="2"/>
      <c r="H1456" s="2"/>
      <c r="I1456" s="2"/>
      <c r="N1456" s="9"/>
      <c r="O1456" s="7"/>
      <c r="P1456" s="7"/>
      <c r="Q1456" s="7"/>
      <c r="R1456" s="7"/>
      <c r="S1456" s="7"/>
      <c r="T1456" s="7"/>
      <c r="U1456" s="7"/>
      <c r="V1456" s="7"/>
      <c r="W1456" s="7"/>
      <c r="X1456" s="7"/>
    </row>
    <row r="1457" spans="1:24" s="1" customFormat="1" ht="52.5" customHeight="1" x14ac:dyDescent="0.2">
      <c r="A1457" s="7"/>
      <c r="B1457" s="18"/>
      <c r="F1457" s="2"/>
      <c r="H1457" s="2"/>
      <c r="I1457" s="2"/>
      <c r="N1457" s="9"/>
      <c r="O1457" s="7"/>
      <c r="P1457" s="7"/>
      <c r="Q1457" s="7"/>
      <c r="R1457" s="7"/>
      <c r="S1457" s="7"/>
      <c r="T1457" s="7"/>
      <c r="U1457" s="7"/>
      <c r="V1457" s="7"/>
      <c r="W1457" s="7"/>
      <c r="X1457" s="7"/>
    </row>
    <row r="1458" spans="1:24" s="1" customFormat="1" ht="51" customHeight="1" x14ac:dyDescent="0.2">
      <c r="A1458" s="7"/>
      <c r="B1458" s="18"/>
      <c r="E1458" s="2"/>
      <c r="F1458" s="2"/>
      <c r="H1458" s="2"/>
      <c r="I1458" s="2"/>
      <c r="J1458" s="2"/>
      <c r="N1458" s="9"/>
      <c r="O1458" s="7"/>
      <c r="P1458" s="7"/>
      <c r="Q1458" s="7"/>
      <c r="R1458" s="7"/>
      <c r="S1458" s="7"/>
      <c r="T1458" s="7"/>
      <c r="U1458" s="7"/>
      <c r="V1458" s="7"/>
      <c r="W1458" s="7"/>
      <c r="X1458" s="7"/>
    </row>
    <row r="1460" spans="1:24" s="1" customFormat="1" ht="33" customHeight="1" x14ac:dyDescent="0.2">
      <c r="A1460" s="7"/>
      <c r="B1460" s="18"/>
      <c r="D1460" s="2"/>
      <c r="E1460" s="2"/>
      <c r="F1460" s="2"/>
      <c r="H1460" s="2"/>
      <c r="I1460" s="2"/>
      <c r="J1460" s="2"/>
      <c r="N1460" s="9"/>
      <c r="O1460" s="7"/>
      <c r="P1460" s="7"/>
      <c r="Q1460" s="7"/>
      <c r="R1460" s="7"/>
      <c r="S1460" s="7"/>
      <c r="T1460" s="7"/>
      <c r="U1460" s="7"/>
      <c r="V1460" s="7"/>
      <c r="W1460" s="7"/>
      <c r="X1460" s="7"/>
    </row>
    <row r="1462" spans="1:24" s="1" customFormat="1" ht="47.25" customHeight="1" x14ac:dyDescent="0.2">
      <c r="A1462" s="7"/>
      <c r="B1462" s="18"/>
      <c r="D1462" s="2"/>
      <c r="E1462" s="2"/>
      <c r="F1462" s="2"/>
      <c r="H1462" s="2"/>
      <c r="I1462" s="2"/>
      <c r="J1462" s="2"/>
      <c r="N1462" s="9"/>
      <c r="O1462" s="7"/>
      <c r="P1462" s="7"/>
      <c r="Q1462" s="7"/>
      <c r="R1462" s="7"/>
      <c r="S1462" s="7"/>
      <c r="T1462" s="7"/>
      <c r="U1462" s="7"/>
      <c r="V1462" s="7"/>
      <c r="W1462" s="7"/>
      <c r="X1462" s="7"/>
    </row>
    <row r="1463" spans="1:24" s="1" customFormat="1" ht="54.75" customHeight="1" x14ac:dyDescent="0.2">
      <c r="A1463" s="7"/>
      <c r="B1463" s="18"/>
      <c r="D1463" s="2"/>
      <c r="E1463" s="2"/>
      <c r="F1463" s="2"/>
      <c r="H1463" s="2"/>
      <c r="I1463" s="2"/>
      <c r="J1463" s="2"/>
      <c r="N1463" s="9"/>
      <c r="O1463" s="7"/>
      <c r="P1463" s="7"/>
      <c r="Q1463" s="7"/>
      <c r="R1463" s="7"/>
      <c r="S1463" s="7"/>
      <c r="T1463" s="7"/>
      <c r="U1463" s="7"/>
      <c r="V1463" s="7"/>
      <c r="W1463" s="7"/>
      <c r="X1463" s="7"/>
    </row>
    <row r="1464" spans="1:24" s="1" customFormat="1" x14ac:dyDescent="0.2">
      <c r="A1464" s="7"/>
      <c r="B1464" s="18"/>
      <c r="D1464" s="2"/>
      <c r="F1464" s="2"/>
      <c r="H1464" s="2"/>
      <c r="I1464" s="2"/>
      <c r="N1464" s="9"/>
      <c r="O1464" s="7"/>
      <c r="P1464" s="7"/>
      <c r="Q1464" s="7"/>
      <c r="R1464" s="7"/>
      <c r="S1464" s="7"/>
      <c r="T1464" s="7"/>
      <c r="U1464" s="7"/>
      <c r="V1464" s="7"/>
      <c r="W1464" s="7"/>
      <c r="X1464" s="7"/>
    </row>
    <row r="1465" spans="1:24" s="1" customFormat="1" ht="42.75" customHeight="1" x14ac:dyDescent="0.2">
      <c r="A1465" s="7"/>
      <c r="B1465" s="18"/>
      <c r="E1465" s="2"/>
      <c r="F1465" s="2"/>
      <c r="H1465" s="2"/>
      <c r="I1465" s="2"/>
      <c r="J1465" s="2"/>
      <c r="N1465" s="9"/>
      <c r="O1465" s="7"/>
      <c r="P1465" s="7"/>
      <c r="Q1465" s="7"/>
      <c r="R1465" s="7"/>
      <c r="S1465" s="7"/>
      <c r="T1465" s="7"/>
      <c r="U1465" s="7"/>
      <c r="V1465" s="7"/>
      <c r="W1465" s="7"/>
      <c r="X1465" s="7"/>
    </row>
    <row r="1466" spans="1:24" s="1" customFormat="1" x14ac:dyDescent="0.2">
      <c r="A1466" s="7"/>
      <c r="B1466" s="18"/>
      <c r="D1466" s="2"/>
      <c r="F1466" s="2"/>
      <c r="H1466" s="2"/>
      <c r="I1466" s="2"/>
      <c r="N1466" s="9"/>
      <c r="O1466" s="7"/>
      <c r="P1466" s="7"/>
      <c r="Q1466" s="7"/>
      <c r="R1466" s="7"/>
      <c r="S1466" s="7"/>
      <c r="T1466" s="7"/>
      <c r="U1466" s="7"/>
      <c r="V1466" s="7"/>
      <c r="W1466" s="7"/>
      <c r="X1466" s="7"/>
    </row>
    <row r="1467" spans="1:24" s="1" customFormat="1" x14ac:dyDescent="0.2">
      <c r="A1467" s="7"/>
      <c r="B1467" s="18"/>
      <c r="E1467" s="2"/>
      <c r="F1467" s="2"/>
      <c r="H1467" s="2"/>
      <c r="I1467" s="2"/>
      <c r="J1467" s="2"/>
      <c r="N1467" s="9"/>
      <c r="O1467" s="7"/>
      <c r="P1467" s="7"/>
      <c r="Q1467" s="7"/>
      <c r="R1467" s="7"/>
      <c r="S1467" s="7"/>
      <c r="T1467" s="7"/>
      <c r="U1467" s="7"/>
      <c r="V1467" s="7"/>
      <c r="W1467" s="7"/>
      <c r="X1467" s="7"/>
    </row>
    <row r="1468" spans="1:24" s="1" customFormat="1" x14ac:dyDescent="0.2">
      <c r="A1468" s="7"/>
      <c r="B1468" s="18"/>
      <c r="D1468" s="2"/>
      <c r="F1468" s="2"/>
      <c r="H1468" s="2"/>
      <c r="I1468" s="2"/>
      <c r="N1468" s="9"/>
      <c r="O1468" s="7"/>
      <c r="P1468" s="7"/>
      <c r="Q1468" s="7"/>
      <c r="R1468" s="7"/>
      <c r="S1468" s="7"/>
      <c r="T1468" s="7"/>
      <c r="U1468" s="7"/>
      <c r="V1468" s="7"/>
      <c r="W1468" s="7"/>
      <c r="X1468" s="7"/>
    </row>
    <row r="1469" spans="1:24" s="1" customFormat="1" x14ac:dyDescent="0.2">
      <c r="A1469" s="7"/>
      <c r="B1469" s="18"/>
      <c r="F1469" s="2"/>
      <c r="H1469" s="2"/>
      <c r="I1469" s="2"/>
      <c r="N1469" s="9"/>
      <c r="O1469" s="7"/>
      <c r="P1469" s="7"/>
      <c r="Q1469" s="7"/>
      <c r="R1469" s="7"/>
      <c r="S1469" s="7"/>
      <c r="T1469" s="7"/>
      <c r="U1469" s="7"/>
      <c r="V1469" s="7"/>
      <c r="W1469" s="7"/>
      <c r="X1469" s="7"/>
    </row>
    <row r="1470" spans="1:24" s="1" customFormat="1" x14ac:dyDescent="0.2">
      <c r="A1470" s="7"/>
      <c r="B1470" s="18"/>
      <c r="E1470" s="2"/>
      <c r="F1470" s="2"/>
      <c r="H1470" s="2"/>
      <c r="I1470" s="2"/>
      <c r="J1470" s="2"/>
      <c r="N1470" s="9"/>
      <c r="O1470" s="7"/>
      <c r="P1470" s="7"/>
      <c r="Q1470" s="7"/>
      <c r="R1470" s="7"/>
      <c r="S1470" s="7"/>
      <c r="T1470" s="7"/>
      <c r="U1470" s="7"/>
      <c r="V1470" s="7"/>
      <c r="W1470" s="7"/>
      <c r="X1470" s="7"/>
    </row>
    <row r="1471" spans="1:24" s="1" customFormat="1" ht="50.25" customHeight="1" x14ac:dyDescent="0.2">
      <c r="A1471" s="7"/>
      <c r="B1471" s="18"/>
      <c r="D1471" s="2"/>
      <c r="E1471" s="2"/>
      <c r="F1471" s="2"/>
      <c r="H1471" s="2"/>
      <c r="I1471" s="2"/>
      <c r="J1471" s="2"/>
      <c r="N1471" s="9"/>
      <c r="O1471" s="7"/>
      <c r="P1471" s="7"/>
      <c r="Q1471" s="7"/>
      <c r="R1471" s="7"/>
      <c r="S1471" s="7"/>
      <c r="T1471" s="7"/>
      <c r="U1471" s="7"/>
      <c r="V1471" s="7"/>
      <c r="W1471" s="7"/>
      <c r="X1471" s="7"/>
    </row>
    <row r="1475" spans="1:24" s="1" customFormat="1" ht="52.5" customHeight="1" x14ac:dyDescent="0.2">
      <c r="A1475" s="7"/>
      <c r="B1475" s="18"/>
      <c r="D1475" s="2"/>
      <c r="F1475" s="2"/>
      <c r="H1475" s="2"/>
      <c r="I1475" s="2"/>
      <c r="N1475" s="9"/>
      <c r="O1475" s="7"/>
      <c r="P1475" s="7"/>
      <c r="Q1475" s="7"/>
      <c r="R1475" s="7"/>
      <c r="S1475" s="7"/>
      <c r="T1475" s="7"/>
      <c r="U1475" s="7"/>
      <c r="V1475" s="7"/>
      <c r="W1475" s="7"/>
      <c r="X1475" s="7"/>
    </row>
    <row r="1476" spans="1:24" s="1" customFormat="1" x14ac:dyDescent="0.2">
      <c r="A1476" s="7"/>
      <c r="B1476" s="18"/>
      <c r="E1476" s="2"/>
      <c r="F1476" s="2"/>
      <c r="H1476" s="2"/>
      <c r="I1476" s="2"/>
      <c r="J1476" s="2"/>
      <c r="N1476" s="9"/>
      <c r="O1476" s="7"/>
      <c r="P1476" s="7"/>
      <c r="Q1476" s="7"/>
      <c r="R1476" s="7"/>
      <c r="S1476" s="7"/>
      <c r="T1476" s="7"/>
      <c r="U1476" s="7"/>
      <c r="V1476" s="7"/>
      <c r="W1476" s="7"/>
      <c r="X1476" s="7"/>
    </row>
    <row r="1479" spans="1:24" s="1" customFormat="1" x14ac:dyDescent="0.2">
      <c r="A1479" s="7"/>
      <c r="B1479" s="18"/>
      <c r="D1479" s="2"/>
      <c r="F1479" s="2"/>
      <c r="H1479" s="2"/>
      <c r="I1479" s="2"/>
      <c r="N1479" s="9"/>
      <c r="O1479" s="7"/>
      <c r="P1479" s="7"/>
      <c r="Q1479" s="7"/>
      <c r="R1479" s="7"/>
      <c r="S1479" s="7"/>
      <c r="T1479" s="7"/>
      <c r="U1479" s="7"/>
      <c r="V1479" s="7"/>
      <c r="W1479" s="7"/>
      <c r="X1479" s="7"/>
    </row>
    <row r="1480" spans="1:24" s="1" customFormat="1" x14ac:dyDescent="0.2">
      <c r="A1480" s="7"/>
      <c r="B1480" s="18"/>
      <c r="E1480" s="2"/>
      <c r="F1480" s="2"/>
      <c r="H1480" s="2"/>
      <c r="I1480" s="2"/>
      <c r="J1480" s="2"/>
      <c r="N1480" s="9"/>
      <c r="O1480" s="7"/>
      <c r="P1480" s="7"/>
      <c r="Q1480" s="7"/>
      <c r="R1480" s="7"/>
      <c r="S1480" s="7"/>
      <c r="T1480" s="7"/>
      <c r="U1480" s="7"/>
      <c r="V1480" s="7"/>
      <c r="W1480" s="7"/>
      <c r="X1480" s="7"/>
    </row>
    <row r="1482" spans="1:24" s="1" customFormat="1" ht="79.5" customHeight="1" x14ac:dyDescent="0.2">
      <c r="A1482" s="7"/>
      <c r="B1482" s="18"/>
      <c r="D1482" s="2"/>
      <c r="E1482" s="2"/>
      <c r="F1482" s="2"/>
      <c r="H1482" s="2"/>
      <c r="I1482" s="2"/>
      <c r="J1482" s="2"/>
      <c r="N1482" s="9"/>
      <c r="O1482" s="7"/>
      <c r="P1482" s="7"/>
      <c r="Q1482" s="7"/>
      <c r="R1482" s="7"/>
      <c r="S1482" s="7"/>
      <c r="T1482" s="7"/>
      <c r="U1482" s="7"/>
      <c r="V1482" s="7"/>
      <c r="W1482" s="7"/>
      <c r="X1482" s="7"/>
    </row>
    <row r="1483" spans="1:24" s="1" customFormat="1" ht="27.75" customHeight="1" x14ac:dyDescent="0.2">
      <c r="A1483" s="7"/>
      <c r="B1483" s="18"/>
      <c r="D1483" s="2"/>
      <c r="E1483" s="2"/>
      <c r="F1483" s="2"/>
      <c r="H1483" s="2"/>
      <c r="I1483" s="2"/>
      <c r="J1483" s="2"/>
      <c r="N1483" s="9"/>
      <c r="O1483" s="7"/>
      <c r="P1483" s="7"/>
      <c r="Q1483" s="7"/>
      <c r="R1483" s="7"/>
      <c r="S1483" s="7"/>
      <c r="T1483" s="7"/>
      <c r="U1483" s="7"/>
      <c r="V1483" s="7"/>
      <c r="W1483" s="7"/>
      <c r="X1483" s="7"/>
    </row>
    <row r="1485" spans="1:24" s="1" customFormat="1" x14ac:dyDescent="0.2">
      <c r="A1485" s="7"/>
      <c r="B1485" s="18"/>
      <c r="D1485" s="2"/>
      <c r="F1485" s="2"/>
      <c r="H1485" s="2"/>
      <c r="I1485" s="2"/>
      <c r="N1485" s="9"/>
      <c r="O1485" s="7"/>
      <c r="P1485" s="7"/>
      <c r="Q1485" s="7"/>
      <c r="R1485" s="7"/>
      <c r="S1485" s="7"/>
      <c r="T1485" s="7"/>
      <c r="U1485" s="7"/>
      <c r="V1485" s="7"/>
      <c r="W1485" s="7"/>
      <c r="X1485" s="7"/>
    </row>
    <row r="1486" spans="1:24" s="1" customFormat="1" x14ac:dyDescent="0.2">
      <c r="A1486" s="7"/>
      <c r="B1486" s="18"/>
      <c r="F1486" s="2"/>
      <c r="H1486" s="2"/>
      <c r="I1486" s="2"/>
      <c r="N1486" s="9"/>
      <c r="O1486" s="7"/>
      <c r="P1486" s="7"/>
      <c r="Q1486" s="7"/>
      <c r="R1486" s="7"/>
      <c r="S1486" s="7"/>
      <c r="T1486" s="7"/>
      <c r="U1486" s="7"/>
      <c r="V1486" s="7"/>
      <c r="W1486" s="7"/>
      <c r="X1486" s="7"/>
    </row>
    <row r="1487" spans="1:24" s="1" customFormat="1" x14ac:dyDescent="0.2">
      <c r="A1487" s="7"/>
      <c r="B1487" s="18"/>
      <c r="E1487" s="2"/>
      <c r="F1487" s="2"/>
      <c r="H1487" s="2"/>
      <c r="I1487" s="2"/>
      <c r="J1487" s="2"/>
      <c r="N1487" s="9"/>
      <c r="O1487" s="7"/>
      <c r="P1487" s="7"/>
      <c r="Q1487" s="7"/>
      <c r="R1487" s="7"/>
      <c r="S1487" s="7"/>
      <c r="T1487" s="7"/>
      <c r="U1487" s="7"/>
      <c r="V1487" s="7"/>
      <c r="W1487" s="7"/>
      <c r="X1487" s="7"/>
    </row>
    <row r="1488" spans="1:24" s="1" customFormat="1" x14ac:dyDescent="0.2">
      <c r="A1488" s="7"/>
      <c r="B1488" s="18"/>
      <c r="D1488" s="2"/>
      <c r="F1488" s="2"/>
      <c r="H1488" s="2"/>
      <c r="I1488" s="2"/>
      <c r="N1488" s="9"/>
      <c r="O1488" s="7"/>
      <c r="P1488" s="7"/>
      <c r="Q1488" s="7"/>
      <c r="R1488" s="7"/>
      <c r="S1488" s="7"/>
      <c r="T1488" s="7"/>
      <c r="U1488" s="7"/>
      <c r="V1488" s="7"/>
      <c r="W1488" s="7"/>
      <c r="X1488" s="7"/>
    </row>
    <row r="1489" spans="1:24" s="1" customFormat="1" x14ac:dyDescent="0.2">
      <c r="A1489" s="7"/>
      <c r="B1489" s="18"/>
      <c r="E1489" s="2"/>
      <c r="F1489" s="2"/>
      <c r="H1489" s="2"/>
      <c r="I1489" s="2"/>
      <c r="J1489" s="2"/>
      <c r="N1489" s="9"/>
      <c r="O1489" s="7"/>
      <c r="P1489" s="7"/>
      <c r="Q1489" s="7"/>
      <c r="R1489" s="7"/>
      <c r="S1489" s="7"/>
      <c r="T1489" s="7"/>
      <c r="U1489" s="7"/>
      <c r="V1489" s="7"/>
      <c r="W1489" s="7"/>
      <c r="X1489" s="7"/>
    </row>
    <row r="1490" spans="1:24" s="1" customFormat="1" ht="53.25" customHeight="1" x14ac:dyDescent="0.2">
      <c r="A1490" s="7"/>
      <c r="B1490" s="18"/>
      <c r="D1490" s="2"/>
      <c r="F1490" s="2"/>
      <c r="H1490" s="2"/>
      <c r="I1490" s="2"/>
      <c r="N1490" s="9"/>
      <c r="O1490" s="7"/>
      <c r="P1490" s="7"/>
      <c r="Q1490" s="7"/>
      <c r="R1490" s="7"/>
      <c r="S1490" s="7"/>
      <c r="T1490" s="7"/>
      <c r="U1490" s="7"/>
      <c r="V1490" s="7"/>
      <c r="W1490" s="7"/>
      <c r="X1490" s="7"/>
    </row>
    <row r="1491" spans="1:24" s="1" customFormat="1" x14ac:dyDescent="0.2">
      <c r="A1491" s="7"/>
      <c r="B1491" s="18"/>
      <c r="E1491" s="2"/>
      <c r="F1491" s="2"/>
      <c r="H1491" s="2"/>
      <c r="I1491" s="2"/>
      <c r="J1491" s="2"/>
      <c r="N1491" s="9"/>
      <c r="O1491" s="7"/>
      <c r="P1491" s="7"/>
      <c r="Q1491" s="7"/>
      <c r="R1491" s="7"/>
      <c r="S1491" s="7"/>
      <c r="T1491" s="7"/>
      <c r="U1491" s="7"/>
      <c r="V1491" s="7"/>
      <c r="W1491" s="7"/>
      <c r="X1491" s="7"/>
    </row>
    <row r="1492" spans="1:24" s="1" customFormat="1" ht="42.75" customHeight="1" x14ac:dyDescent="0.2">
      <c r="A1492" s="7"/>
      <c r="B1492" s="18"/>
      <c r="D1492" s="2"/>
      <c r="F1492" s="2"/>
      <c r="H1492" s="2"/>
      <c r="I1492" s="2"/>
      <c r="N1492" s="9"/>
      <c r="O1492" s="7"/>
      <c r="P1492" s="7"/>
      <c r="Q1492" s="7"/>
      <c r="R1492" s="7"/>
      <c r="S1492" s="7"/>
      <c r="T1492" s="7"/>
      <c r="U1492" s="7"/>
      <c r="V1492" s="7"/>
      <c r="W1492" s="7"/>
      <c r="X1492" s="7"/>
    </row>
    <row r="1493" spans="1:24" s="1" customFormat="1" x14ac:dyDescent="0.2">
      <c r="A1493" s="7"/>
      <c r="B1493" s="18"/>
      <c r="F1493" s="2"/>
      <c r="H1493" s="2"/>
      <c r="I1493" s="2"/>
      <c r="N1493" s="9"/>
      <c r="O1493" s="7"/>
      <c r="P1493" s="7"/>
      <c r="Q1493" s="7"/>
      <c r="R1493" s="7"/>
      <c r="S1493" s="7"/>
      <c r="T1493" s="7"/>
      <c r="U1493" s="7"/>
      <c r="V1493" s="7"/>
      <c r="W1493" s="7"/>
      <c r="X1493" s="7"/>
    </row>
    <row r="1494" spans="1:24" s="1" customFormat="1" ht="113.25" customHeight="1" x14ac:dyDescent="0.2">
      <c r="A1494" s="7"/>
      <c r="B1494" s="18"/>
      <c r="E1494" s="2"/>
      <c r="F1494" s="2"/>
      <c r="H1494" s="2"/>
      <c r="I1494" s="2"/>
      <c r="J1494" s="2"/>
      <c r="N1494" s="9"/>
      <c r="O1494" s="7"/>
      <c r="P1494" s="7"/>
      <c r="Q1494" s="7"/>
      <c r="R1494" s="7"/>
      <c r="S1494" s="7"/>
      <c r="T1494" s="7"/>
      <c r="U1494" s="7"/>
      <c r="V1494" s="7"/>
      <c r="W1494" s="7"/>
      <c r="X1494" s="7"/>
    </row>
    <row r="1495" spans="1:24" s="1" customFormat="1" ht="18.75" customHeight="1" x14ac:dyDescent="0.2">
      <c r="A1495" s="7"/>
      <c r="B1495" s="18"/>
      <c r="D1495" s="2"/>
      <c r="F1495" s="2"/>
      <c r="H1495" s="2"/>
      <c r="I1495" s="2"/>
      <c r="N1495" s="9"/>
      <c r="O1495" s="7"/>
      <c r="P1495" s="7"/>
      <c r="Q1495" s="7"/>
      <c r="R1495" s="7"/>
      <c r="S1495" s="7"/>
      <c r="T1495" s="7"/>
      <c r="U1495" s="7"/>
      <c r="V1495" s="7"/>
      <c r="W1495" s="7"/>
      <c r="X1495" s="7"/>
    </row>
    <row r="1496" spans="1:24" s="1" customFormat="1" x14ac:dyDescent="0.2">
      <c r="A1496" s="7"/>
      <c r="B1496" s="18"/>
      <c r="F1496" s="2"/>
      <c r="H1496" s="2"/>
      <c r="I1496" s="2"/>
      <c r="N1496" s="9"/>
      <c r="O1496" s="7"/>
      <c r="P1496" s="7"/>
      <c r="Q1496" s="7"/>
      <c r="R1496" s="7"/>
      <c r="S1496" s="7"/>
      <c r="T1496" s="7"/>
      <c r="U1496" s="7"/>
      <c r="V1496" s="7"/>
      <c r="W1496" s="7"/>
      <c r="X1496" s="7"/>
    </row>
    <row r="1497" spans="1:24" s="1" customFormat="1" x14ac:dyDescent="0.2">
      <c r="A1497" s="7"/>
      <c r="B1497" s="18"/>
      <c r="F1497" s="2"/>
      <c r="H1497" s="2"/>
      <c r="I1497" s="2"/>
      <c r="N1497" s="9"/>
      <c r="O1497" s="7"/>
      <c r="P1497" s="7"/>
      <c r="Q1497" s="7"/>
      <c r="R1497" s="7"/>
      <c r="S1497" s="7"/>
      <c r="T1497" s="7"/>
      <c r="U1497" s="7"/>
      <c r="V1497" s="7"/>
      <c r="W1497" s="7"/>
      <c r="X1497" s="7"/>
    </row>
    <row r="1498" spans="1:24" s="1" customFormat="1" x14ac:dyDescent="0.2">
      <c r="A1498" s="7"/>
      <c r="B1498" s="18"/>
      <c r="F1498" s="2"/>
      <c r="H1498" s="2"/>
      <c r="I1498" s="2"/>
      <c r="N1498" s="9"/>
      <c r="O1498" s="7"/>
      <c r="P1498" s="7"/>
      <c r="Q1498" s="7"/>
      <c r="R1498" s="7"/>
      <c r="S1498" s="7"/>
      <c r="T1498" s="7"/>
      <c r="U1498" s="7"/>
      <c r="V1498" s="7"/>
      <c r="W1498" s="7"/>
      <c r="X1498" s="7"/>
    </row>
    <row r="1499" spans="1:24" s="1" customFormat="1" x14ac:dyDescent="0.2">
      <c r="A1499" s="7"/>
      <c r="B1499" s="18"/>
      <c r="E1499" s="2"/>
      <c r="F1499" s="2"/>
      <c r="H1499" s="2"/>
      <c r="I1499" s="2"/>
      <c r="J1499" s="2"/>
      <c r="N1499" s="9"/>
      <c r="O1499" s="7"/>
      <c r="P1499" s="7"/>
      <c r="Q1499" s="7"/>
      <c r="R1499" s="7"/>
      <c r="S1499" s="7"/>
      <c r="T1499" s="7"/>
      <c r="U1499" s="7"/>
      <c r="V1499" s="7"/>
      <c r="W1499" s="7"/>
      <c r="X1499" s="7"/>
    </row>
    <row r="1501" spans="1:24" s="1" customFormat="1" ht="53.25" customHeight="1" x14ac:dyDescent="0.2">
      <c r="A1501" s="7"/>
      <c r="B1501" s="18"/>
      <c r="D1501" s="2"/>
      <c r="E1501" s="2"/>
      <c r="F1501" s="2"/>
      <c r="H1501" s="2"/>
      <c r="I1501" s="2"/>
      <c r="J1501" s="2"/>
      <c r="N1501" s="9"/>
      <c r="O1501" s="7"/>
      <c r="P1501" s="7"/>
      <c r="Q1501" s="7"/>
      <c r="R1501" s="7"/>
      <c r="S1501" s="7"/>
      <c r="T1501" s="7"/>
      <c r="U1501" s="7"/>
      <c r="V1501" s="7"/>
      <c r="W1501" s="7"/>
      <c r="X1501" s="7"/>
    </row>
    <row r="1503" spans="1:24" s="1" customFormat="1" x14ac:dyDescent="0.2">
      <c r="A1503" s="7"/>
      <c r="B1503" s="18"/>
      <c r="D1503" s="2"/>
      <c r="F1503" s="2"/>
      <c r="H1503" s="2"/>
      <c r="I1503" s="2"/>
      <c r="N1503" s="9"/>
      <c r="O1503" s="7"/>
      <c r="P1503" s="7"/>
      <c r="Q1503" s="7"/>
      <c r="R1503" s="7"/>
      <c r="S1503" s="7"/>
      <c r="T1503" s="7"/>
      <c r="U1503" s="7"/>
      <c r="V1503" s="7"/>
      <c r="W1503" s="7"/>
      <c r="X1503" s="7"/>
    </row>
    <row r="1504" spans="1:24" s="1" customFormat="1" x14ac:dyDescent="0.2">
      <c r="A1504" s="7"/>
      <c r="B1504" s="18"/>
      <c r="E1504" s="2"/>
      <c r="F1504" s="2"/>
      <c r="H1504" s="2"/>
      <c r="I1504" s="2"/>
      <c r="J1504" s="2"/>
      <c r="N1504" s="9"/>
      <c r="O1504" s="7"/>
      <c r="P1504" s="7"/>
      <c r="Q1504" s="7"/>
      <c r="R1504" s="7"/>
      <c r="S1504" s="7"/>
      <c r="T1504" s="7"/>
      <c r="U1504" s="7"/>
      <c r="V1504" s="7"/>
      <c r="W1504" s="7"/>
      <c r="X1504" s="7"/>
    </row>
    <row r="1505" spans="1:24" s="1" customFormat="1" ht="51" customHeight="1" x14ac:dyDescent="0.2">
      <c r="A1505" s="7"/>
      <c r="B1505" s="18"/>
      <c r="D1505" s="2"/>
      <c r="E1505" s="2"/>
      <c r="F1505" s="2"/>
      <c r="H1505" s="2"/>
      <c r="I1505" s="2"/>
      <c r="J1505" s="2"/>
      <c r="N1505" s="9"/>
      <c r="O1505" s="7"/>
      <c r="P1505" s="7"/>
      <c r="Q1505" s="7"/>
      <c r="R1505" s="7"/>
      <c r="S1505" s="7"/>
      <c r="T1505" s="7"/>
      <c r="U1505" s="7"/>
      <c r="V1505" s="7"/>
      <c r="W1505" s="7"/>
      <c r="X1505" s="7"/>
    </row>
    <row r="1506" spans="1:24" s="1" customFormat="1" x14ac:dyDescent="0.2">
      <c r="A1506" s="7"/>
      <c r="B1506" s="18"/>
      <c r="D1506" s="2"/>
      <c r="F1506" s="2"/>
      <c r="H1506" s="2"/>
      <c r="I1506" s="2"/>
      <c r="N1506" s="9"/>
      <c r="O1506" s="7"/>
      <c r="P1506" s="7"/>
      <c r="Q1506" s="7"/>
      <c r="R1506" s="7"/>
      <c r="S1506" s="7"/>
      <c r="T1506" s="7"/>
      <c r="U1506" s="7"/>
      <c r="V1506" s="7"/>
      <c r="W1506" s="7"/>
      <c r="X1506" s="7"/>
    </row>
    <row r="1507" spans="1:24" s="1" customFormat="1" x14ac:dyDescent="0.2">
      <c r="A1507" s="7"/>
      <c r="B1507" s="18"/>
      <c r="E1507" s="2"/>
      <c r="F1507" s="2"/>
      <c r="H1507" s="2"/>
      <c r="I1507" s="2"/>
      <c r="J1507" s="2"/>
      <c r="N1507" s="9"/>
      <c r="O1507" s="7"/>
      <c r="P1507" s="7"/>
      <c r="Q1507" s="7"/>
      <c r="R1507" s="7"/>
      <c r="S1507" s="7"/>
      <c r="T1507" s="7"/>
      <c r="U1507" s="7"/>
      <c r="V1507" s="7"/>
      <c r="W1507" s="7"/>
      <c r="X1507" s="7"/>
    </row>
    <row r="1508" spans="1:24" s="1" customFormat="1" x14ac:dyDescent="0.2">
      <c r="A1508" s="7"/>
      <c r="B1508" s="18"/>
      <c r="D1508" s="2"/>
      <c r="F1508" s="2"/>
      <c r="H1508" s="2"/>
      <c r="I1508" s="2"/>
      <c r="N1508" s="9"/>
      <c r="O1508" s="7"/>
      <c r="P1508" s="7"/>
      <c r="Q1508" s="7"/>
      <c r="R1508" s="7"/>
      <c r="S1508" s="7"/>
      <c r="T1508" s="7"/>
      <c r="U1508" s="7"/>
      <c r="V1508" s="7"/>
      <c r="W1508" s="7"/>
      <c r="X1508" s="7"/>
    </row>
    <row r="1509" spans="1:24" s="1" customFormat="1" x14ac:dyDescent="0.2">
      <c r="A1509" s="7"/>
      <c r="B1509" s="18"/>
      <c r="E1509" s="2"/>
      <c r="F1509" s="2"/>
      <c r="H1509" s="2"/>
      <c r="I1509" s="2"/>
      <c r="J1509" s="2"/>
      <c r="N1509" s="9"/>
      <c r="O1509" s="7"/>
      <c r="P1509" s="7"/>
      <c r="Q1509" s="7"/>
      <c r="R1509" s="7"/>
      <c r="S1509" s="7"/>
      <c r="T1509" s="7"/>
      <c r="U1509" s="7"/>
      <c r="V1509" s="7"/>
      <c r="W1509" s="7"/>
      <c r="X1509" s="7"/>
    </row>
    <row r="1511" spans="1:24" s="1" customFormat="1" ht="27" customHeight="1" x14ac:dyDescent="0.2">
      <c r="A1511" s="7"/>
      <c r="B1511" s="18"/>
      <c r="D1511" s="2"/>
      <c r="E1511" s="2"/>
      <c r="F1511" s="2"/>
      <c r="H1511" s="2"/>
      <c r="I1511" s="2"/>
      <c r="J1511" s="2"/>
      <c r="N1511" s="9"/>
      <c r="O1511" s="7"/>
      <c r="P1511" s="7"/>
      <c r="Q1511" s="7"/>
      <c r="R1511" s="7"/>
      <c r="S1511" s="7"/>
      <c r="T1511" s="7"/>
      <c r="U1511" s="7"/>
      <c r="V1511" s="7"/>
      <c r="W1511" s="7"/>
      <c r="X1511" s="7"/>
    </row>
    <row r="1512" spans="1:24" s="1" customFormat="1" ht="17.25" customHeight="1" x14ac:dyDescent="0.2">
      <c r="A1512" s="7"/>
      <c r="B1512" s="18"/>
      <c r="D1512" s="2"/>
      <c r="F1512" s="2"/>
      <c r="H1512" s="2"/>
      <c r="I1512" s="2"/>
      <c r="N1512" s="9"/>
      <c r="O1512" s="7"/>
      <c r="P1512" s="7"/>
      <c r="Q1512" s="7"/>
      <c r="R1512" s="7"/>
      <c r="S1512" s="7"/>
      <c r="T1512" s="7"/>
      <c r="U1512" s="7"/>
      <c r="V1512" s="7"/>
      <c r="W1512" s="7"/>
      <c r="X1512" s="7"/>
    </row>
    <row r="1513" spans="1:24" s="1" customFormat="1" x14ac:dyDescent="0.2">
      <c r="A1513" s="7"/>
      <c r="B1513" s="18"/>
      <c r="E1513" s="2"/>
      <c r="F1513" s="2"/>
      <c r="H1513" s="2"/>
      <c r="I1513" s="2"/>
      <c r="J1513" s="2"/>
      <c r="N1513" s="9"/>
      <c r="O1513" s="7"/>
      <c r="P1513" s="7"/>
      <c r="Q1513" s="7"/>
      <c r="R1513" s="7"/>
      <c r="S1513" s="7"/>
      <c r="T1513" s="7"/>
      <c r="U1513" s="7"/>
      <c r="V1513" s="7"/>
      <c r="W1513" s="7"/>
      <c r="X1513" s="7"/>
    </row>
    <row r="1514" spans="1:24" s="1" customFormat="1" ht="38.25" customHeight="1" x14ac:dyDescent="0.2">
      <c r="A1514" s="7"/>
      <c r="B1514" s="18"/>
      <c r="D1514" s="2"/>
      <c r="E1514" s="2"/>
      <c r="F1514" s="2"/>
      <c r="H1514" s="2"/>
      <c r="I1514" s="2"/>
      <c r="J1514" s="2"/>
      <c r="N1514" s="9"/>
      <c r="O1514" s="7"/>
      <c r="P1514" s="7"/>
      <c r="Q1514" s="7"/>
      <c r="R1514" s="7"/>
      <c r="S1514" s="7"/>
      <c r="T1514" s="7"/>
      <c r="U1514" s="7"/>
      <c r="V1514" s="7"/>
      <c r="W1514" s="7"/>
      <c r="X1514" s="7"/>
    </row>
    <row r="1516" spans="1:24" s="1" customFormat="1" ht="20.25" customHeight="1" x14ac:dyDescent="0.2">
      <c r="A1516" s="7"/>
      <c r="B1516" s="18"/>
      <c r="D1516" s="2"/>
      <c r="F1516" s="2"/>
      <c r="H1516" s="2"/>
      <c r="I1516" s="2"/>
      <c r="N1516" s="9"/>
      <c r="O1516" s="7"/>
      <c r="P1516" s="7"/>
      <c r="Q1516" s="7"/>
      <c r="R1516" s="7"/>
      <c r="S1516" s="7"/>
      <c r="T1516" s="7"/>
      <c r="U1516" s="7"/>
      <c r="V1516" s="7"/>
      <c r="W1516" s="7"/>
      <c r="X1516" s="7"/>
    </row>
    <row r="1517" spans="1:24" s="1" customFormat="1" x14ac:dyDescent="0.2">
      <c r="A1517" s="7"/>
      <c r="B1517" s="18"/>
      <c r="E1517" s="2"/>
      <c r="F1517" s="2"/>
      <c r="H1517" s="2"/>
      <c r="I1517" s="2"/>
      <c r="J1517" s="2"/>
      <c r="N1517" s="9"/>
      <c r="O1517" s="7"/>
      <c r="P1517" s="7"/>
      <c r="Q1517" s="7"/>
      <c r="R1517" s="7"/>
      <c r="S1517" s="7"/>
      <c r="T1517" s="7"/>
      <c r="U1517" s="7"/>
      <c r="V1517" s="7"/>
      <c r="W1517" s="7"/>
      <c r="X1517" s="7"/>
    </row>
    <row r="1518" spans="1:24" s="1" customFormat="1" ht="127.5" customHeight="1" x14ac:dyDescent="0.2">
      <c r="A1518" s="7"/>
      <c r="B1518" s="18"/>
      <c r="D1518" s="2"/>
      <c r="E1518" s="2"/>
      <c r="F1518" s="2"/>
      <c r="H1518" s="2"/>
      <c r="I1518" s="2"/>
      <c r="J1518" s="2"/>
      <c r="N1518" s="9"/>
      <c r="O1518" s="7"/>
      <c r="P1518" s="7"/>
      <c r="Q1518" s="7"/>
      <c r="R1518" s="7"/>
      <c r="S1518" s="7"/>
      <c r="T1518" s="7"/>
      <c r="U1518" s="7"/>
      <c r="V1518" s="7"/>
      <c r="W1518" s="7"/>
      <c r="X1518" s="7"/>
    </row>
    <row r="1519" spans="1:24" s="1" customFormat="1" ht="42" customHeight="1" x14ac:dyDescent="0.2">
      <c r="A1519" s="7"/>
      <c r="B1519" s="18"/>
      <c r="D1519" s="2"/>
      <c r="E1519" s="2"/>
      <c r="F1519" s="2"/>
      <c r="H1519" s="2"/>
      <c r="I1519" s="2"/>
      <c r="J1519" s="2"/>
      <c r="N1519" s="9"/>
      <c r="O1519" s="7"/>
      <c r="P1519" s="7"/>
      <c r="Q1519" s="7"/>
      <c r="R1519" s="7"/>
      <c r="S1519" s="7"/>
      <c r="T1519" s="7"/>
      <c r="U1519" s="7"/>
      <c r="V1519" s="7"/>
      <c r="W1519" s="7"/>
      <c r="X1519" s="7"/>
    </row>
    <row r="1521" spans="1:24" s="1" customFormat="1" ht="42" customHeight="1" x14ac:dyDescent="0.2">
      <c r="A1521" s="7"/>
      <c r="B1521" s="18"/>
      <c r="D1521" s="2"/>
      <c r="E1521" s="2"/>
      <c r="F1521" s="2"/>
      <c r="H1521" s="2"/>
      <c r="I1521" s="2"/>
      <c r="J1521" s="2"/>
      <c r="N1521" s="9"/>
      <c r="O1521" s="7"/>
      <c r="P1521" s="7"/>
      <c r="Q1521" s="7"/>
      <c r="R1521" s="7"/>
      <c r="S1521" s="7"/>
      <c r="T1521" s="7"/>
      <c r="U1521" s="7"/>
      <c r="V1521" s="7"/>
      <c r="W1521" s="7"/>
      <c r="X1521" s="7"/>
    </row>
    <row r="1522" spans="1:24" s="1" customFormat="1" ht="129.75" customHeight="1" x14ac:dyDescent="0.2">
      <c r="A1522" s="7"/>
      <c r="B1522" s="18"/>
      <c r="D1522" s="2"/>
      <c r="F1522" s="2"/>
      <c r="H1522" s="2"/>
      <c r="I1522" s="2"/>
      <c r="N1522" s="9"/>
      <c r="O1522" s="7"/>
      <c r="P1522" s="7"/>
      <c r="Q1522" s="7"/>
      <c r="R1522" s="7"/>
      <c r="S1522" s="7"/>
      <c r="T1522" s="7"/>
      <c r="U1522" s="7"/>
      <c r="V1522" s="7"/>
      <c r="W1522" s="7"/>
      <c r="X1522" s="7"/>
    </row>
    <row r="1523" spans="1:24" s="1" customFormat="1" ht="27" customHeight="1" x14ac:dyDescent="0.2">
      <c r="A1523" s="7"/>
      <c r="B1523" s="18"/>
      <c r="F1523" s="2"/>
      <c r="H1523" s="2"/>
      <c r="I1523" s="2"/>
      <c r="N1523" s="9"/>
      <c r="O1523" s="7"/>
      <c r="P1523" s="7"/>
      <c r="Q1523" s="7"/>
      <c r="R1523" s="7"/>
      <c r="S1523" s="7"/>
      <c r="T1523" s="7"/>
      <c r="U1523" s="7"/>
      <c r="V1523" s="7"/>
      <c r="W1523" s="7"/>
      <c r="X1523" s="7"/>
    </row>
    <row r="1524" spans="1:24" s="1" customFormat="1" ht="44.25" customHeight="1" x14ac:dyDescent="0.2">
      <c r="A1524" s="7"/>
      <c r="B1524" s="18"/>
      <c r="F1524" s="2"/>
      <c r="H1524" s="2"/>
      <c r="I1524" s="2"/>
      <c r="N1524" s="9"/>
      <c r="O1524" s="7"/>
      <c r="P1524" s="7"/>
      <c r="Q1524" s="7"/>
      <c r="R1524" s="7"/>
      <c r="S1524" s="7"/>
      <c r="T1524" s="7"/>
      <c r="U1524" s="7"/>
      <c r="V1524" s="7"/>
      <c r="W1524" s="7"/>
      <c r="X1524" s="7"/>
    </row>
    <row r="1525" spans="1:24" s="1" customFormat="1" x14ac:dyDescent="0.2">
      <c r="A1525" s="7"/>
      <c r="B1525" s="18"/>
      <c r="E1525" s="2"/>
      <c r="F1525" s="2"/>
      <c r="H1525" s="2"/>
      <c r="I1525" s="2"/>
      <c r="J1525" s="2"/>
      <c r="N1525" s="9"/>
      <c r="O1525" s="7"/>
      <c r="P1525" s="7"/>
      <c r="Q1525" s="7"/>
      <c r="R1525" s="7"/>
      <c r="S1525" s="7"/>
      <c r="T1525" s="7"/>
      <c r="U1525" s="7"/>
      <c r="V1525" s="7"/>
      <c r="W1525" s="7"/>
      <c r="X1525" s="7"/>
    </row>
    <row r="1529" spans="1:24" s="1" customFormat="1" ht="33" customHeight="1" x14ac:dyDescent="0.2">
      <c r="A1529" s="7"/>
      <c r="B1529" s="18"/>
      <c r="D1529" s="2"/>
      <c r="E1529" s="2"/>
      <c r="F1529" s="2"/>
      <c r="H1529" s="2"/>
      <c r="I1529" s="2"/>
      <c r="J1529" s="2"/>
      <c r="N1529" s="9"/>
      <c r="O1529" s="7"/>
      <c r="P1529" s="7"/>
      <c r="Q1529" s="7"/>
      <c r="R1529" s="7"/>
      <c r="S1529" s="7"/>
      <c r="T1529" s="7"/>
      <c r="U1529" s="7"/>
      <c r="V1529" s="7"/>
      <c r="W1529" s="7"/>
      <c r="X1529" s="7"/>
    </row>
    <row r="1531" spans="1:24" s="1" customFormat="1" x14ac:dyDescent="0.2">
      <c r="A1531" s="7"/>
      <c r="B1531" s="18"/>
      <c r="D1531" s="2"/>
      <c r="F1531" s="2"/>
      <c r="H1531" s="2"/>
      <c r="I1531" s="2"/>
      <c r="N1531" s="9"/>
      <c r="O1531" s="7"/>
      <c r="P1531" s="7"/>
      <c r="Q1531" s="7"/>
      <c r="R1531" s="7"/>
      <c r="S1531" s="7"/>
      <c r="T1531" s="7"/>
      <c r="U1531" s="7"/>
      <c r="V1531" s="7"/>
      <c r="W1531" s="7"/>
      <c r="X1531" s="7"/>
    </row>
    <row r="1532" spans="1:24" s="1" customFormat="1" ht="22.5" customHeight="1" x14ac:dyDescent="0.2">
      <c r="A1532" s="7"/>
      <c r="B1532" s="18"/>
      <c r="F1532" s="2"/>
      <c r="H1532" s="2"/>
      <c r="I1532" s="2"/>
      <c r="N1532" s="9"/>
      <c r="O1532" s="7"/>
      <c r="P1532" s="7"/>
      <c r="Q1532" s="7"/>
      <c r="R1532" s="7"/>
      <c r="S1532" s="7"/>
      <c r="T1532" s="7"/>
      <c r="U1532" s="7"/>
      <c r="V1532" s="7"/>
      <c r="W1532" s="7"/>
      <c r="X1532" s="7"/>
    </row>
    <row r="1533" spans="1:24" s="1" customFormat="1" x14ac:dyDescent="0.2">
      <c r="A1533" s="7"/>
      <c r="B1533" s="18"/>
      <c r="F1533" s="2"/>
      <c r="H1533" s="2"/>
      <c r="I1533" s="2"/>
      <c r="N1533" s="9"/>
      <c r="O1533" s="7"/>
      <c r="P1533" s="7"/>
      <c r="Q1533" s="7"/>
      <c r="R1533" s="7"/>
      <c r="S1533" s="7"/>
      <c r="T1533" s="7"/>
      <c r="U1533" s="7"/>
      <c r="V1533" s="7"/>
      <c r="W1533" s="7"/>
      <c r="X1533" s="7"/>
    </row>
    <row r="1534" spans="1:24" s="1" customFormat="1" ht="57" customHeight="1" x14ac:dyDescent="0.2">
      <c r="A1534" s="7"/>
      <c r="B1534" s="18"/>
      <c r="E1534" s="2"/>
      <c r="F1534" s="2"/>
      <c r="H1534" s="2"/>
      <c r="I1534" s="2"/>
      <c r="J1534" s="2"/>
      <c r="N1534" s="9"/>
      <c r="O1534" s="7"/>
      <c r="P1534" s="7"/>
      <c r="Q1534" s="7"/>
      <c r="R1534" s="7"/>
      <c r="S1534" s="7"/>
      <c r="T1534" s="7"/>
      <c r="U1534" s="7"/>
      <c r="V1534" s="7"/>
      <c r="W1534" s="7"/>
      <c r="X1534" s="7"/>
    </row>
    <row r="1537" spans="1:24" s="1" customFormat="1" x14ac:dyDescent="0.2">
      <c r="A1537" s="7"/>
      <c r="B1537" s="18"/>
      <c r="D1537" s="2"/>
      <c r="F1537" s="2"/>
      <c r="H1537" s="2"/>
      <c r="I1537" s="2"/>
      <c r="N1537" s="9"/>
      <c r="O1537" s="7"/>
      <c r="P1537" s="7"/>
      <c r="Q1537" s="7"/>
      <c r="R1537" s="7"/>
      <c r="S1537" s="7"/>
      <c r="T1537" s="7"/>
      <c r="U1537" s="7"/>
      <c r="V1537" s="7"/>
      <c r="W1537" s="7"/>
      <c r="X1537" s="7"/>
    </row>
    <row r="1538" spans="1:24" s="1" customFormat="1" ht="49.5" customHeight="1" x14ac:dyDescent="0.2">
      <c r="A1538" s="7"/>
      <c r="B1538" s="18"/>
      <c r="F1538" s="2"/>
      <c r="H1538" s="2"/>
      <c r="I1538" s="2"/>
      <c r="N1538" s="9"/>
      <c r="O1538" s="7"/>
      <c r="P1538" s="7"/>
      <c r="Q1538" s="7"/>
      <c r="R1538" s="7"/>
      <c r="S1538" s="7"/>
      <c r="T1538" s="7"/>
      <c r="U1538" s="7"/>
      <c r="V1538" s="7"/>
      <c r="W1538" s="7"/>
      <c r="X1538" s="7"/>
    </row>
    <row r="1539" spans="1:24" s="1" customFormat="1" x14ac:dyDescent="0.2">
      <c r="A1539" s="7"/>
      <c r="B1539" s="18"/>
      <c r="E1539" s="2"/>
      <c r="F1539" s="2"/>
      <c r="H1539" s="2"/>
      <c r="I1539" s="2"/>
      <c r="J1539" s="2"/>
      <c r="N1539" s="9"/>
      <c r="O1539" s="7"/>
      <c r="P1539" s="7"/>
      <c r="Q1539" s="7"/>
      <c r="R1539" s="7"/>
      <c r="S1539" s="7"/>
      <c r="T1539" s="7"/>
      <c r="U1539" s="7"/>
      <c r="V1539" s="7"/>
      <c r="W1539" s="7"/>
      <c r="X1539" s="7"/>
    </row>
    <row r="1542" spans="1:24" s="1" customFormat="1" ht="48.75" customHeight="1" x14ac:dyDescent="0.2">
      <c r="A1542" s="7"/>
      <c r="B1542" s="18"/>
      <c r="D1542" s="2"/>
      <c r="E1542" s="2"/>
      <c r="F1542" s="2"/>
      <c r="H1542" s="2"/>
      <c r="I1542" s="2"/>
      <c r="J1542" s="2"/>
      <c r="N1542" s="9"/>
      <c r="O1542" s="7"/>
      <c r="P1542" s="7"/>
      <c r="Q1542" s="7"/>
      <c r="R1542" s="7"/>
      <c r="S1542" s="7"/>
      <c r="T1542" s="7"/>
      <c r="U1542" s="7"/>
      <c r="V1542" s="7"/>
      <c r="W1542" s="7"/>
      <c r="X1542" s="7"/>
    </row>
    <row r="1543" spans="1:24" s="1" customFormat="1" x14ac:dyDescent="0.2">
      <c r="A1543" s="7"/>
      <c r="B1543" s="18"/>
      <c r="D1543" s="2"/>
      <c r="F1543" s="2"/>
      <c r="H1543" s="2"/>
      <c r="I1543" s="2"/>
      <c r="N1543" s="9"/>
      <c r="O1543" s="7"/>
      <c r="P1543" s="7"/>
      <c r="Q1543" s="7"/>
      <c r="R1543" s="7"/>
      <c r="S1543" s="7"/>
      <c r="T1543" s="7"/>
      <c r="U1543" s="7"/>
      <c r="V1543" s="7"/>
      <c r="W1543" s="7"/>
      <c r="X1543" s="7"/>
    </row>
    <row r="1544" spans="1:24" s="1" customFormat="1" x14ac:dyDescent="0.2">
      <c r="A1544" s="7"/>
      <c r="B1544" s="18"/>
      <c r="E1544" s="2"/>
      <c r="F1544" s="2"/>
      <c r="H1544" s="2"/>
      <c r="I1544" s="2"/>
      <c r="J1544" s="2"/>
      <c r="N1544" s="9"/>
      <c r="O1544" s="7"/>
      <c r="P1544" s="7"/>
      <c r="Q1544" s="7"/>
      <c r="R1544" s="7"/>
      <c r="S1544" s="7"/>
      <c r="T1544" s="7"/>
      <c r="U1544" s="7"/>
      <c r="V1544" s="7"/>
      <c r="W1544" s="7"/>
      <c r="X1544" s="7"/>
    </row>
    <row r="1548" spans="1:24" s="1" customFormat="1" ht="84" customHeight="1" x14ac:dyDescent="0.2">
      <c r="A1548" s="7"/>
      <c r="B1548" s="18"/>
      <c r="D1548" s="2"/>
      <c r="E1548" s="2"/>
      <c r="F1548" s="2"/>
      <c r="H1548" s="2"/>
      <c r="I1548" s="2"/>
      <c r="J1548" s="2"/>
      <c r="N1548" s="9"/>
      <c r="O1548" s="7"/>
      <c r="P1548" s="7"/>
      <c r="Q1548" s="7"/>
      <c r="R1548" s="7"/>
      <c r="S1548" s="7"/>
      <c r="T1548" s="7"/>
      <c r="U1548" s="7"/>
      <c r="V1548" s="7"/>
      <c r="W1548" s="7"/>
      <c r="X1548" s="7"/>
    </row>
    <row r="1549" spans="1:24" s="1" customFormat="1" ht="34.5" customHeight="1" x14ac:dyDescent="0.2">
      <c r="A1549" s="7"/>
      <c r="B1549" s="18"/>
      <c r="D1549" s="2"/>
      <c r="E1549" s="2"/>
      <c r="F1549" s="2"/>
      <c r="H1549" s="2"/>
      <c r="I1549" s="2"/>
      <c r="J1549" s="2"/>
      <c r="N1549" s="9"/>
      <c r="O1549" s="7"/>
      <c r="P1549" s="7"/>
      <c r="Q1549" s="7"/>
      <c r="R1549" s="7"/>
      <c r="S1549" s="7"/>
      <c r="T1549" s="7"/>
      <c r="U1549" s="7"/>
      <c r="V1549" s="7"/>
      <c r="W1549" s="7"/>
      <c r="X1549" s="7"/>
    </row>
    <row r="1550" spans="1:24" s="1" customFormat="1" ht="24.75" customHeight="1" x14ac:dyDescent="0.2">
      <c r="A1550" s="7"/>
      <c r="B1550" s="18"/>
      <c r="D1550" s="2"/>
      <c r="E1550" s="2"/>
      <c r="F1550" s="2"/>
      <c r="H1550" s="2"/>
      <c r="I1550" s="2"/>
      <c r="J1550" s="2"/>
      <c r="N1550" s="9"/>
      <c r="O1550" s="7"/>
      <c r="P1550" s="7"/>
      <c r="Q1550" s="7"/>
      <c r="R1550" s="7"/>
      <c r="S1550" s="7"/>
      <c r="T1550" s="7"/>
      <c r="U1550" s="7"/>
      <c r="V1550" s="7"/>
      <c r="W1550" s="7"/>
      <c r="X1550" s="7"/>
    </row>
    <row r="1552" spans="1:24" s="1" customFormat="1" x14ac:dyDescent="0.2">
      <c r="A1552" s="7"/>
      <c r="B1552" s="18"/>
      <c r="D1552" s="2"/>
      <c r="F1552" s="2"/>
      <c r="H1552" s="2"/>
      <c r="I1552" s="2"/>
      <c r="N1552" s="9"/>
      <c r="O1552" s="7"/>
      <c r="P1552" s="7"/>
      <c r="Q1552" s="7"/>
      <c r="R1552" s="7"/>
      <c r="S1552" s="7"/>
      <c r="T1552" s="7"/>
      <c r="U1552" s="7"/>
      <c r="V1552" s="7"/>
      <c r="W1552" s="7"/>
      <c r="X1552" s="7"/>
    </row>
    <row r="1553" spans="1:24" s="1" customFormat="1" x14ac:dyDescent="0.2">
      <c r="A1553" s="7"/>
      <c r="B1553" s="18"/>
      <c r="E1553" s="2"/>
      <c r="F1553" s="2"/>
      <c r="H1553" s="2"/>
      <c r="I1553" s="2"/>
      <c r="J1553" s="2"/>
      <c r="N1553" s="9"/>
      <c r="O1553" s="7"/>
      <c r="P1553" s="7"/>
      <c r="Q1553" s="7"/>
      <c r="R1553" s="7"/>
      <c r="S1553" s="7"/>
      <c r="T1553" s="7"/>
      <c r="U1553" s="7"/>
      <c r="V1553" s="7"/>
      <c r="W1553" s="7"/>
      <c r="X1553" s="7"/>
    </row>
    <row r="1556" spans="1:24" s="1" customFormat="1" x14ac:dyDescent="0.2">
      <c r="A1556" s="7"/>
      <c r="B1556" s="18"/>
      <c r="D1556" s="2"/>
      <c r="F1556" s="2"/>
      <c r="H1556" s="2"/>
      <c r="I1556" s="2"/>
      <c r="N1556" s="9"/>
      <c r="O1556" s="7"/>
      <c r="P1556" s="7"/>
      <c r="Q1556" s="7"/>
      <c r="R1556" s="7"/>
      <c r="S1556" s="7"/>
      <c r="T1556" s="7"/>
      <c r="U1556" s="7"/>
      <c r="V1556" s="7"/>
      <c r="W1556" s="7"/>
      <c r="X1556" s="7"/>
    </row>
    <row r="1557" spans="1:24" s="1" customFormat="1" ht="36" customHeight="1" x14ac:dyDescent="0.2">
      <c r="A1557" s="7"/>
      <c r="B1557" s="18"/>
      <c r="E1557" s="2"/>
      <c r="F1557" s="2"/>
      <c r="H1557" s="2"/>
      <c r="I1557" s="2"/>
      <c r="J1557" s="2"/>
      <c r="N1557" s="9"/>
      <c r="O1557" s="7"/>
      <c r="P1557" s="7"/>
      <c r="Q1557" s="7"/>
      <c r="R1557" s="7"/>
      <c r="S1557" s="7"/>
      <c r="T1557" s="7"/>
      <c r="U1557" s="7"/>
      <c r="V1557" s="7"/>
      <c r="W1557" s="7"/>
      <c r="X1557" s="7"/>
    </row>
    <row r="1558" spans="1:24" s="1" customFormat="1" ht="111.75" customHeight="1" x14ac:dyDescent="0.2">
      <c r="A1558" s="7"/>
      <c r="B1558" s="18"/>
      <c r="D1558" s="2"/>
      <c r="F1558" s="2"/>
      <c r="H1558" s="2"/>
      <c r="I1558" s="2"/>
      <c r="N1558" s="9"/>
      <c r="O1558" s="7"/>
      <c r="P1558" s="7"/>
      <c r="Q1558" s="7"/>
      <c r="R1558" s="7"/>
      <c r="S1558" s="7"/>
      <c r="T1558" s="7"/>
      <c r="U1558" s="7"/>
      <c r="V1558" s="7"/>
      <c r="W1558" s="7"/>
      <c r="X1558" s="7"/>
    </row>
    <row r="1559" spans="1:24" s="1" customFormat="1" ht="27.75" customHeight="1" x14ac:dyDescent="0.2">
      <c r="A1559" s="7"/>
      <c r="B1559" s="18"/>
      <c r="F1559" s="2"/>
      <c r="H1559" s="2"/>
      <c r="I1559" s="2"/>
      <c r="N1559" s="9"/>
      <c r="O1559" s="7"/>
      <c r="P1559" s="7"/>
      <c r="Q1559" s="7"/>
      <c r="R1559" s="7"/>
      <c r="S1559" s="7"/>
      <c r="T1559" s="7"/>
      <c r="U1559" s="7"/>
      <c r="V1559" s="7"/>
      <c r="W1559" s="7"/>
      <c r="X1559" s="7"/>
    </row>
    <row r="1560" spans="1:24" s="1" customFormat="1" x14ac:dyDescent="0.2">
      <c r="A1560" s="7"/>
      <c r="B1560" s="18"/>
      <c r="E1560" s="2"/>
      <c r="F1560" s="2"/>
      <c r="H1560" s="2"/>
      <c r="I1560" s="2"/>
      <c r="J1560" s="2"/>
      <c r="N1560" s="9"/>
      <c r="O1560" s="7"/>
      <c r="P1560" s="7"/>
      <c r="Q1560" s="7"/>
      <c r="R1560" s="7"/>
      <c r="S1560" s="7"/>
      <c r="T1560" s="7"/>
      <c r="U1560" s="7"/>
      <c r="V1560" s="7"/>
      <c r="W1560" s="7"/>
      <c r="X1560" s="7"/>
    </row>
    <row r="1563" spans="1:24" s="1" customFormat="1" ht="111.75" customHeight="1" x14ac:dyDescent="0.2">
      <c r="A1563" s="7"/>
      <c r="B1563" s="18"/>
      <c r="D1563" s="2"/>
      <c r="E1563" s="2"/>
      <c r="F1563" s="2"/>
      <c r="H1563" s="2"/>
      <c r="I1563" s="2"/>
      <c r="J1563" s="2"/>
      <c r="N1563" s="9"/>
      <c r="O1563" s="7"/>
      <c r="P1563" s="7"/>
      <c r="Q1563" s="7"/>
      <c r="R1563" s="7"/>
      <c r="S1563" s="7"/>
      <c r="T1563" s="7"/>
      <c r="U1563" s="7"/>
      <c r="V1563" s="7"/>
      <c r="W1563" s="7"/>
      <c r="X1563" s="7"/>
    </row>
    <row r="1564" spans="1:24" s="1" customFormat="1" ht="42.75" customHeight="1" x14ac:dyDescent="0.2">
      <c r="A1564" s="7"/>
      <c r="B1564" s="18"/>
      <c r="D1564" s="2"/>
      <c r="F1564" s="2"/>
      <c r="H1564" s="2"/>
      <c r="I1564" s="2"/>
      <c r="N1564" s="9"/>
      <c r="O1564" s="7"/>
      <c r="P1564" s="7"/>
      <c r="Q1564" s="7"/>
      <c r="R1564" s="7"/>
      <c r="S1564" s="7"/>
      <c r="T1564" s="7"/>
      <c r="U1564" s="7"/>
      <c r="V1564" s="7"/>
      <c r="W1564" s="7"/>
      <c r="X1564" s="7"/>
    </row>
    <row r="1565" spans="1:24" s="1" customFormat="1" x14ac:dyDescent="0.2">
      <c r="A1565" s="7"/>
      <c r="B1565" s="18"/>
      <c r="F1565" s="2"/>
      <c r="H1565" s="2"/>
      <c r="I1565" s="2"/>
      <c r="N1565" s="9"/>
      <c r="O1565" s="7"/>
      <c r="P1565" s="7"/>
      <c r="Q1565" s="7"/>
      <c r="R1565" s="7"/>
      <c r="S1565" s="7"/>
      <c r="T1565" s="7"/>
      <c r="U1565" s="7"/>
      <c r="V1565" s="7"/>
      <c r="W1565" s="7"/>
      <c r="X1565" s="7"/>
    </row>
    <row r="1566" spans="1:24" s="1" customFormat="1" x14ac:dyDescent="0.2">
      <c r="A1566" s="7"/>
      <c r="B1566" s="18"/>
      <c r="E1566" s="2"/>
      <c r="F1566" s="2"/>
      <c r="H1566" s="2"/>
      <c r="I1566" s="2"/>
      <c r="J1566" s="2"/>
      <c r="N1566" s="9"/>
      <c r="O1566" s="7"/>
      <c r="P1566" s="7"/>
      <c r="Q1566" s="7"/>
      <c r="R1566" s="7"/>
      <c r="S1566" s="7"/>
      <c r="T1566" s="7"/>
      <c r="U1566" s="7"/>
      <c r="V1566" s="7"/>
      <c r="W1566" s="7"/>
      <c r="X1566" s="7"/>
    </row>
    <row r="1569" spans="1:24" s="1" customFormat="1" ht="51.75" customHeight="1" x14ac:dyDescent="0.2">
      <c r="A1569" s="7"/>
      <c r="B1569" s="18"/>
      <c r="D1569" s="2"/>
      <c r="F1569" s="2"/>
      <c r="H1569" s="2"/>
      <c r="I1569" s="2"/>
      <c r="N1569" s="9"/>
      <c r="O1569" s="7"/>
      <c r="P1569" s="7"/>
      <c r="Q1569" s="7"/>
      <c r="R1569" s="7"/>
      <c r="S1569" s="7"/>
      <c r="T1569" s="7"/>
      <c r="U1569" s="7"/>
      <c r="V1569" s="7"/>
      <c r="W1569" s="7"/>
      <c r="X1569" s="7"/>
    </row>
    <row r="1570" spans="1:24" s="1" customFormat="1" x14ac:dyDescent="0.2">
      <c r="A1570" s="7"/>
      <c r="B1570" s="18"/>
      <c r="F1570" s="2"/>
      <c r="H1570" s="2"/>
      <c r="I1570" s="2"/>
      <c r="N1570" s="9"/>
      <c r="O1570" s="7"/>
      <c r="P1570" s="7"/>
      <c r="Q1570" s="7"/>
      <c r="R1570" s="7"/>
      <c r="S1570" s="7"/>
      <c r="T1570" s="7"/>
      <c r="U1570" s="7"/>
      <c r="V1570" s="7"/>
      <c r="W1570" s="7"/>
      <c r="X1570" s="7"/>
    </row>
    <row r="1571" spans="1:24" s="1" customFormat="1" x14ac:dyDescent="0.2">
      <c r="A1571" s="7"/>
      <c r="B1571" s="18"/>
      <c r="E1571" s="2"/>
      <c r="F1571" s="2"/>
      <c r="H1571" s="2"/>
      <c r="I1571" s="2"/>
      <c r="J1571" s="2"/>
      <c r="N1571" s="9"/>
      <c r="O1571" s="7"/>
      <c r="P1571" s="7"/>
      <c r="Q1571" s="7"/>
      <c r="R1571" s="7"/>
      <c r="S1571" s="7"/>
      <c r="T1571" s="7"/>
      <c r="U1571" s="7"/>
      <c r="V1571" s="7"/>
      <c r="W1571" s="7"/>
      <c r="X1571" s="7"/>
    </row>
    <row r="1573" spans="1:24" s="1" customFormat="1" x14ac:dyDescent="0.2">
      <c r="A1573" s="7"/>
      <c r="B1573" s="18"/>
      <c r="D1573" s="2"/>
      <c r="F1573" s="2"/>
      <c r="H1573" s="2"/>
      <c r="I1573" s="2"/>
      <c r="N1573" s="9"/>
      <c r="O1573" s="7"/>
      <c r="P1573" s="7"/>
      <c r="Q1573" s="7"/>
      <c r="R1573" s="7"/>
      <c r="S1573" s="7"/>
      <c r="T1573" s="7"/>
      <c r="U1573" s="7"/>
      <c r="V1573" s="7"/>
      <c r="W1573" s="7"/>
      <c r="X1573" s="7"/>
    </row>
    <row r="1574" spans="1:24" s="1" customFormat="1" x14ac:dyDescent="0.2">
      <c r="A1574" s="7"/>
      <c r="B1574" s="18"/>
      <c r="F1574" s="2"/>
      <c r="H1574" s="2"/>
      <c r="I1574" s="2"/>
      <c r="N1574" s="9"/>
      <c r="O1574" s="7"/>
      <c r="P1574" s="7"/>
      <c r="Q1574" s="7"/>
      <c r="R1574" s="7"/>
      <c r="S1574" s="7"/>
      <c r="T1574" s="7"/>
      <c r="U1574" s="7"/>
      <c r="V1574" s="7"/>
      <c r="W1574" s="7"/>
      <c r="X1574" s="7"/>
    </row>
    <row r="1575" spans="1:24" s="1" customFormat="1" x14ac:dyDescent="0.2">
      <c r="A1575" s="7"/>
      <c r="B1575" s="18"/>
      <c r="E1575" s="2"/>
      <c r="F1575" s="2"/>
      <c r="H1575" s="2"/>
      <c r="I1575" s="2"/>
      <c r="J1575" s="2"/>
      <c r="N1575" s="9"/>
      <c r="O1575" s="7"/>
      <c r="P1575" s="7"/>
      <c r="Q1575" s="7"/>
      <c r="R1575" s="7"/>
      <c r="S1575" s="7"/>
      <c r="T1575" s="7"/>
      <c r="U1575" s="7"/>
      <c r="V1575" s="7"/>
      <c r="W1575" s="7"/>
      <c r="X1575" s="7"/>
    </row>
    <row r="1576" spans="1:24" s="1" customFormat="1" x14ac:dyDescent="0.2">
      <c r="A1576" s="7"/>
      <c r="B1576" s="18"/>
      <c r="D1576" s="2"/>
      <c r="F1576" s="2"/>
      <c r="H1576" s="2"/>
      <c r="I1576" s="2"/>
      <c r="N1576" s="9"/>
      <c r="O1576" s="7"/>
      <c r="P1576" s="7"/>
      <c r="Q1576" s="7"/>
      <c r="R1576" s="7"/>
      <c r="S1576" s="7"/>
      <c r="T1576" s="7"/>
      <c r="U1576" s="7"/>
      <c r="V1576" s="7"/>
      <c r="W1576" s="7"/>
      <c r="X1576" s="7"/>
    </row>
    <row r="1577" spans="1:24" s="1" customFormat="1" x14ac:dyDescent="0.2">
      <c r="A1577" s="7"/>
      <c r="B1577" s="18"/>
      <c r="F1577" s="2"/>
      <c r="H1577" s="2"/>
      <c r="I1577" s="2"/>
      <c r="N1577" s="9"/>
      <c r="O1577" s="7"/>
      <c r="P1577" s="7"/>
      <c r="Q1577" s="7"/>
      <c r="R1577" s="7"/>
      <c r="S1577" s="7"/>
      <c r="T1577" s="7"/>
      <c r="U1577" s="7"/>
      <c r="V1577" s="7"/>
      <c r="W1577" s="7"/>
      <c r="X1577" s="7"/>
    </row>
    <row r="1578" spans="1:24" s="1" customFormat="1" ht="50.25" customHeight="1" x14ac:dyDescent="0.2">
      <c r="A1578" s="7"/>
      <c r="B1578" s="18"/>
      <c r="F1578" s="2"/>
      <c r="H1578" s="2"/>
      <c r="I1578" s="2"/>
      <c r="N1578" s="9"/>
      <c r="O1578" s="7"/>
      <c r="P1578" s="7"/>
      <c r="Q1578" s="7"/>
      <c r="R1578" s="7"/>
      <c r="S1578" s="7"/>
      <c r="T1578" s="7"/>
      <c r="U1578" s="7"/>
      <c r="V1578" s="7"/>
      <c r="W1578" s="7"/>
      <c r="X1578" s="7"/>
    </row>
    <row r="1579" spans="1:24" s="1" customFormat="1" x14ac:dyDescent="0.2">
      <c r="A1579" s="7"/>
      <c r="B1579" s="18"/>
      <c r="E1579" s="2"/>
      <c r="F1579" s="2"/>
      <c r="H1579" s="2"/>
      <c r="I1579" s="2"/>
      <c r="J1579" s="2"/>
      <c r="N1579" s="9"/>
      <c r="O1579" s="7"/>
      <c r="P1579" s="7"/>
      <c r="Q1579" s="7"/>
      <c r="R1579" s="7"/>
      <c r="S1579" s="7"/>
      <c r="T1579" s="7"/>
      <c r="U1579" s="7"/>
      <c r="V1579" s="7"/>
      <c r="W1579" s="7"/>
      <c r="X1579" s="7"/>
    </row>
    <row r="1580" spans="1:24" s="1" customFormat="1" x14ac:dyDescent="0.2">
      <c r="A1580" s="7"/>
      <c r="B1580" s="18"/>
      <c r="D1580" s="2"/>
      <c r="F1580" s="2"/>
      <c r="H1580" s="2"/>
      <c r="I1580" s="2"/>
      <c r="N1580" s="9"/>
      <c r="O1580" s="7"/>
      <c r="P1580" s="7"/>
      <c r="Q1580" s="7"/>
      <c r="R1580" s="7"/>
      <c r="S1580" s="7"/>
      <c r="T1580" s="7"/>
      <c r="U1580" s="7"/>
      <c r="V1580" s="7"/>
      <c r="W1580" s="7"/>
      <c r="X1580" s="7"/>
    </row>
    <row r="1581" spans="1:24" s="1" customFormat="1" x14ac:dyDescent="0.2">
      <c r="A1581" s="7"/>
      <c r="B1581" s="18"/>
      <c r="F1581" s="2"/>
      <c r="H1581" s="2"/>
      <c r="I1581" s="2"/>
      <c r="N1581" s="9"/>
      <c r="O1581" s="7"/>
      <c r="P1581" s="7"/>
      <c r="Q1581" s="7"/>
      <c r="R1581" s="7"/>
      <c r="S1581" s="7"/>
      <c r="T1581" s="7"/>
      <c r="U1581" s="7"/>
      <c r="V1581" s="7"/>
      <c r="W1581" s="7"/>
      <c r="X1581" s="7"/>
    </row>
    <row r="1582" spans="1:24" s="1" customFormat="1" ht="51" customHeight="1" x14ac:dyDescent="0.2">
      <c r="A1582" s="7"/>
      <c r="B1582" s="18"/>
      <c r="F1582" s="2"/>
      <c r="H1582" s="2"/>
      <c r="I1582" s="2"/>
      <c r="N1582" s="9"/>
      <c r="O1582" s="7"/>
      <c r="P1582" s="7"/>
      <c r="Q1582" s="7"/>
      <c r="R1582" s="7"/>
      <c r="S1582" s="7"/>
      <c r="T1582" s="7"/>
      <c r="U1582" s="7"/>
      <c r="V1582" s="7"/>
      <c r="W1582" s="7"/>
      <c r="X1582" s="7"/>
    </row>
    <row r="1583" spans="1:24" s="1" customFormat="1" x14ac:dyDescent="0.2">
      <c r="A1583" s="7"/>
      <c r="B1583" s="18"/>
      <c r="E1583" s="2"/>
      <c r="F1583" s="2"/>
      <c r="H1583" s="2"/>
      <c r="I1583" s="2"/>
      <c r="J1583" s="2"/>
      <c r="N1583" s="9"/>
      <c r="O1583" s="7"/>
      <c r="P1583" s="7"/>
      <c r="Q1583" s="7"/>
      <c r="R1583" s="7"/>
      <c r="S1583" s="7"/>
      <c r="T1583" s="7"/>
      <c r="U1583" s="7"/>
      <c r="V1583" s="7"/>
      <c r="W1583" s="7"/>
      <c r="X1583" s="7"/>
    </row>
    <row r="1584" spans="1:24" s="1" customFormat="1" ht="41.25" customHeight="1" x14ac:dyDescent="0.2">
      <c r="A1584" s="7"/>
      <c r="B1584" s="18"/>
      <c r="D1584" s="2"/>
      <c r="E1584" s="2"/>
      <c r="F1584" s="2"/>
      <c r="H1584" s="2"/>
      <c r="I1584" s="2"/>
      <c r="J1584" s="2"/>
      <c r="N1584" s="9"/>
      <c r="O1584" s="7"/>
      <c r="P1584" s="7"/>
      <c r="Q1584" s="7"/>
      <c r="R1584" s="7"/>
      <c r="S1584" s="7"/>
      <c r="T1584" s="7"/>
      <c r="U1584" s="7"/>
      <c r="V1584" s="7"/>
      <c r="W1584" s="7"/>
      <c r="X1584" s="7"/>
    </row>
    <row r="1585" spans="1:24" s="1" customFormat="1" ht="23.25" customHeight="1" x14ac:dyDescent="0.2">
      <c r="A1585" s="7"/>
      <c r="B1585" s="18"/>
      <c r="D1585" s="2"/>
      <c r="E1585" s="2"/>
      <c r="F1585" s="2"/>
      <c r="H1585" s="2"/>
      <c r="I1585" s="2"/>
      <c r="J1585" s="2"/>
      <c r="N1585" s="9"/>
      <c r="O1585" s="7"/>
      <c r="P1585" s="7"/>
      <c r="Q1585" s="7"/>
      <c r="R1585" s="7"/>
      <c r="S1585" s="7"/>
      <c r="T1585" s="7"/>
      <c r="U1585" s="7"/>
      <c r="V1585" s="7"/>
      <c r="W1585" s="7"/>
      <c r="X1585" s="7"/>
    </row>
    <row r="1586" spans="1:24" s="1" customFormat="1" x14ac:dyDescent="0.2">
      <c r="A1586" s="7"/>
      <c r="B1586" s="18"/>
      <c r="D1586" s="2"/>
      <c r="F1586" s="2"/>
      <c r="H1586" s="2"/>
      <c r="I1586" s="2"/>
      <c r="N1586" s="9"/>
      <c r="O1586" s="7"/>
      <c r="P1586" s="7"/>
      <c r="Q1586" s="7"/>
      <c r="R1586" s="7"/>
      <c r="S1586" s="7"/>
      <c r="T1586" s="7"/>
      <c r="U1586" s="7"/>
      <c r="V1586" s="7"/>
      <c r="W1586" s="7"/>
      <c r="X1586" s="7"/>
    </row>
    <row r="1587" spans="1:24" s="1" customFormat="1" x14ac:dyDescent="0.2">
      <c r="A1587" s="7"/>
      <c r="B1587" s="18"/>
      <c r="E1587" s="2"/>
      <c r="F1587" s="2"/>
      <c r="H1587" s="2"/>
      <c r="I1587" s="2"/>
      <c r="J1587" s="2"/>
      <c r="N1587" s="9"/>
      <c r="O1587" s="7"/>
      <c r="P1587" s="7"/>
      <c r="Q1587" s="7"/>
      <c r="R1587" s="7"/>
      <c r="S1587" s="7"/>
      <c r="T1587" s="7"/>
      <c r="U1587" s="7"/>
      <c r="V1587" s="7"/>
      <c r="W1587" s="7"/>
      <c r="X1587" s="7"/>
    </row>
    <row r="1588" spans="1:24" s="1" customFormat="1" x14ac:dyDescent="0.2">
      <c r="A1588" s="7"/>
      <c r="B1588" s="18"/>
      <c r="D1588" s="2"/>
      <c r="F1588" s="2"/>
      <c r="H1588" s="2"/>
      <c r="I1588" s="2"/>
      <c r="N1588" s="9"/>
      <c r="O1588" s="7"/>
      <c r="P1588" s="7"/>
      <c r="Q1588" s="7"/>
      <c r="R1588" s="7"/>
      <c r="S1588" s="7"/>
      <c r="T1588" s="7"/>
      <c r="U1588" s="7"/>
      <c r="V1588" s="7"/>
      <c r="W1588" s="7"/>
      <c r="X1588" s="7"/>
    </row>
    <row r="1589" spans="1:24" s="1" customFormat="1" x14ac:dyDescent="0.2">
      <c r="A1589" s="7"/>
      <c r="B1589" s="18"/>
      <c r="F1589" s="2"/>
      <c r="H1589" s="2"/>
      <c r="I1589" s="2"/>
      <c r="N1589" s="9"/>
      <c r="O1589" s="7"/>
      <c r="P1589" s="7"/>
      <c r="Q1589" s="7"/>
      <c r="R1589" s="7"/>
      <c r="S1589" s="7"/>
      <c r="T1589" s="7"/>
      <c r="U1589" s="7"/>
      <c r="V1589" s="7"/>
      <c r="W1589" s="7"/>
      <c r="X1589" s="7"/>
    </row>
    <row r="1590" spans="1:24" s="1" customFormat="1" ht="50.25" customHeight="1" x14ac:dyDescent="0.2">
      <c r="A1590" s="7"/>
      <c r="B1590" s="18"/>
      <c r="E1590" s="2"/>
      <c r="F1590" s="2"/>
      <c r="H1590" s="2"/>
      <c r="I1590" s="2"/>
      <c r="J1590" s="2"/>
      <c r="N1590" s="9"/>
      <c r="O1590" s="7"/>
      <c r="P1590" s="7"/>
      <c r="Q1590" s="7"/>
      <c r="R1590" s="7"/>
      <c r="S1590" s="7"/>
      <c r="T1590" s="7"/>
      <c r="U1590" s="7"/>
      <c r="V1590" s="7"/>
      <c r="W1590" s="7"/>
      <c r="X1590" s="7"/>
    </row>
    <row r="1591" spans="1:24" s="9" customFormat="1" ht="22.5" customHeight="1" x14ac:dyDescent="0.2">
      <c r="A1591" s="7"/>
      <c r="B1591" s="18"/>
      <c r="C1591" s="1"/>
      <c r="D1591" s="2"/>
      <c r="E1591" s="2"/>
      <c r="F1591" s="2"/>
      <c r="G1591" s="1"/>
      <c r="H1591" s="2"/>
      <c r="I1591" s="2"/>
      <c r="J1591" s="2"/>
      <c r="K1591" s="1"/>
      <c r="M1591" s="1"/>
      <c r="O1591" s="7"/>
      <c r="P1591" s="7"/>
      <c r="Q1591" s="7"/>
      <c r="R1591" s="7"/>
      <c r="S1591" s="7"/>
      <c r="T1591" s="7"/>
      <c r="U1591" s="7"/>
      <c r="V1591" s="7"/>
      <c r="W1591" s="7"/>
      <c r="X1591" s="7"/>
    </row>
    <row r="1595" spans="1:24" s="9" customFormat="1" ht="114" customHeight="1" x14ac:dyDescent="0.2">
      <c r="A1595" s="7"/>
      <c r="B1595" s="18"/>
      <c r="C1595" s="1"/>
      <c r="D1595" s="2"/>
      <c r="E1595" s="2"/>
      <c r="F1595" s="2"/>
      <c r="G1595" s="1"/>
      <c r="H1595" s="2"/>
      <c r="I1595" s="2"/>
      <c r="J1595" s="2"/>
      <c r="K1595" s="1"/>
      <c r="M1595" s="1"/>
      <c r="O1595" s="7"/>
      <c r="P1595" s="7"/>
      <c r="Q1595" s="7"/>
      <c r="R1595" s="7"/>
      <c r="S1595" s="7"/>
      <c r="T1595" s="7"/>
      <c r="U1595" s="7"/>
      <c r="V1595" s="7"/>
      <c r="W1595" s="7"/>
      <c r="X1595" s="7"/>
    </row>
    <row r="1596" spans="1:24" s="9" customFormat="1" ht="24.75" customHeight="1" x14ac:dyDescent="0.2">
      <c r="A1596" s="7"/>
      <c r="B1596" s="18"/>
      <c r="C1596" s="1"/>
      <c r="D1596" s="2"/>
      <c r="E1596" s="2"/>
      <c r="F1596" s="2"/>
      <c r="G1596" s="1"/>
      <c r="H1596" s="2"/>
      <c r="I1596" s="2"/>
      <c r="J1596" s="2"/>
      <c r="K1596" s="1"/>
      <c r="M1596" s="1"/>
      <c r="O1596" s="7"/>
      <c r="P1596" s="7"/>
      <c r="Q1596" s="7"/>
      <c r="R1596" s="7"/>
      <c r="S1596" s="7"/>
      <c r="T1596" s="7"/>
      <c r="U1596" s="7"/>
      <c r="V1596" s="7"/>
      <c r="W1596" s="7"/>
      <c r="X1596" s="7"/>
    </row>
    <row r="1598" spans="1:24" s="9" customFormat="1" x14ac:dyDescent="0.2">
      <c r="A1598" s="7"/>
      <c r="B1598" s="18"/>
      <c r="C1598" s="1"/>
      <c r="D1598" s="2"/>
      <c r="E1598" s="2"/>
      <c r="F1598" s="2"/>
      <c r="G1598" s="1"/>
      <c r="H1598" s="2"/>
      <c r="I1598" s="2"/>
      <c r="J1598" s="2"/>
      <c r="K1598" s="59"/>
      <c r="M1598" s="59"/>
      <c r="O1598" s="7"/>
      <c r="P1598" s="7"/>
      <c r="Q1598" s="7"/>
      <c r="R1598" s="7"/>
      <c r="S1598" s="7"/>
      <c r="T1598" s="7"/>
      <c r="U1598" s="7"/>
      <c r="V1598" s="7"/>
      <c r="W1598" s="7"/>
      <c r="X1598" s="7"/>
    </row>
    <row r="1599" spans="1:24" s="9" customFormat="1" ht="81.75" customHeight="1" x14ac:dyDescent="0.2">
      <c r="A1599" s="7"/>
      <c r="B1599" s="18"/>
      <c r="C1599" s="1"/>
      <c r="D1599" s="2"/>
      <c r="E1599" s="2"/>
      <c r="F1599" s="2"/>
      <c r="G1599" s="1"/>
      <c r="H1599" s="2"/>
      <c r="I1599" s="2"/>
      <c r="J1599" s="2"/>
      <c r="K1599" s="59"/>
      <c r="M1599" s="59"/>
      <c r="O1599" s="7"/>
      <c r="P1599" s="7"/>
      <c r="Q1599" s="7"/>
      <c r="R1599" s="7"/>
      <c r="S1599" s="7"/>
      <c r="T1599" s="7"/>
      <c r="U1599" s="7"/>
      <c r="V1599" s="7"/>
      <c r="W1599" s="7"/>
      <c r="X1599" s="7"/>
    </row>
    <row r="1600" spans="1:24" s="9" customFormat="1" ht="22.5" customHeight="1" x14ac:dyDescent="0.2">
      <c r="A1600" s="7"/>
      <c r="B1600" s="18"/>
      <c r="C1600" s="1"/>
      <c r="D1600" s="2"/>
      <c r="E1600" s="2"/>
      <c r="F1600" s="2"/>
      <c r="G1600" s="1"/>
      <c r="H1600" s="2"/>
      <c r="I1600" s="2"/>
      <c r="J1600" s="2"/>
      <c r="K1600" s="59"/>
      <c r="M1600" s="59"/>
      <c r="O1600" s="7"/>
      <c r="P1600" s="7"/>
      <c r="Q1600" s="7"/>
      <c r="R1600" s="7"/>
      <c r="S1600" s="7"/>
      <c r="T1600" s="7"/>
      <c r="U1600" s="7"/>
      <c r="V1600" s="7"/>
      <c r="W1600" s="7"/>
      <c r="X1600" s="7"/>
    </row>
    <row r="1602" spans="1:24" s="9" customFormat="1" ht="28.5" customHeight="1" x14ac:dyDescent="0.2">
      <c r="A1602" s="7"/>
      <c r="B1602" s="18"/>
      <c r="C1602" s="1"/>
      <c r="D1602" s="2"/>
      <c r="E1602" s="2"/>
      <c r="F1602" s="2"/>
      <c r="G1602" s="1"/>
      <c r="H1602" s="2"/>
      <c r="I1602" s="2"/>
      <c r="J1602" s="2"/>
      <c r="K1602" s="1"/>
      <c r="M1602" s="1"/>
      <c r="O1602" s="7"/>
      <c r="P1602" s="7"/>
      <c r="Q1602" s="7"/>
      <c r="R1602" s="7"/>
      <c r="S1602" s="7"/>
      <c r="T1602" s="7"/>
      <c r="U1602" s="7"/>
      <c r="V1602" s="7"/>
      <c r="W1602" s="7"/>
      <c r="X1602" s="7"/>
    </row>
    <row r="1603" spans="1:24" s="9" customFormat="1" ht="130.5" customHeight="1" x14ac:dyDescent="0.2">
      <c r="A1603" s="7"/>
      <c r="B1603" s="18"/>
      <c r="C1603" s="1"/>
      <c r="D1603" s="2"/>
      <c r="E1603" s="2"/>
      <c r="F1603" s="2"/>
      <c r="G1603" s="1"/>
      <c r="H1603" s="2"/>
      <c r="I1603" s="2"/>
      <c r="J1603" s="2"/>
      <c r="K1603" s="1"/>
      <c r="M1603" s="1"/>
      <c r="O1603" s="7"/>
      <c r="P1603" s="7"/>
      <c r="Q1603" s="7"/>
      <c r="R1603" s="7"/>
      <c r="S1603" s="7"/>
      <c r="T1603" s="7"/>
      <c r="U1603" s="7"/>
      <c r="V1603" s="7"/>
      <c r="W1603" s="7"/>
      <c r="X1603" s="7"/>
    </row>
    <row r="1604" spans="1:24" s="9" customFormat="1" ht="24.75" customHeight="1" x14ac:dyDescent="0.2">
      <c r="A1604" s="7"/>
      <c r="B1604" s="18"/>
      <c r="C1604" s="1"/>
      <c r="D1604" s="2"/>
      <c r="E1604" s="2"/>
      <c r="F1604" s="2"/>
      <c r="G1604" s="1"/>
      <c r="H1604" s="2"/>
      <c r="I1604" s="2"/>
      <c r="J1604" s="2"/>
      <c r="K1604" s="1"/>
      <c r="M1604" s="1"/>
      <c r="O1604" s="7"/>
      <c r="P1604" s="7"/>
      <c r="Q1604" s="7"/>
      <c r="R1604" s="7"/>
      <c r="S1604" s="7"/>
      <c r="T1604" s="7"/>
      <c r="U1604" s="7"/>
      <c r="V1604" s="7"/>
      <c r="W1604" s="7"/>
      <c r="X1604" s="7"/>
    </row>
    <row r="1606" spans="1:24" s="9" customFormat="1" ht="24" customHeight="1" x14ac:dyDescent="0.2">
      <c r="A1606" s="7"/>
      <c r="B1606" s="18"/>
      <c r="C1606" s="1"/>
      <c r="D1606" s="2"/>
      <c r="E1606" s="2"/>
      <c r="F1606" s="2"/>
      <c r="G1606" s="1"/>
      <c r="H1606" s="2"/>
      <c r="I1606" s="2"/>
      <c r="J1606" s="2"/>
      <c r="K1606" s="1"/>
      <c r="M1606" s="1"/>
      <c r="O1606" s="7"/>
      <c r="P1606" s="7"/>
      <c r="Q1606" s="7"/>
      <c r="R1606" s="7"/>
      <c r="S1606" s="7"/>
      <c r="T1606" s="7"/>
      <c r="U1606" s="7"/>
      <c r="V1606" s="7"/>
      <c r="W1606" s="7"/>
      <c r="X1606" s="7"/>
    </row>
    <row r="1607" spans="1:24" ht="80.25" customHeight="1" x14ac:dyDescent="0.2"/>
    <row r="1608" spans="1:24" ht="21.75" customHeight="1" x14ac:dyDescent="0.2"/>
    <row r="1612" spans="1:24" ht="45.75" customHeight="1" x14ac:dyDescent="0.2"/>
    <row r="1614" spans="1:24" ht="51.75" customHeight="1" x14ac:dyDescent="0.2"/>
    <row r="1615" spans="1:24" ht="51.75" customHeight="1" x14ac:dyDescent="0.2"/>
    <row r="1618" spans="1:14" ht="47.25" customHeight="1" x14ac:dyDescent="0.2"/>
    <row r="1619" spans="1:14" ht="52.5" customHeight="1" x14ac:dyDescent="0.2"/>
    <row r="1624" spans="1:14" s="57" customFormat="1" x14ac:dyDescent="0.2">
      <c r="A1624" s="7"/>
      <c r="B1624" s="18"/>
      <c r="C1624" s="1"/>
      <c r="D1624" s="2"/>
      <c r="E1624" s="2"/>
      <c r="F1624" s="2"/>
      <c r="G1624" s="1"/>
      <c r="H1624" s="2"/>
      <c r="I1624" s="2"/>
      <c r="J1624" s="2"/>
      <c r="K1624" s="1"/>
      <c r="M1624" s="1"/>
      <c r="N1624" s="9"/>
    </row>
    <row r="1625" spans="1:14" s="57" customFormat="1" x14ac:dyDescent="0.2">
      <c r="A1625" s="7"/>
      <c r="B1625" s="18"/>
      <c r="C1625" s="1"/>
      <c r="D1625" s="2"/>
      <c r="E1625" s="2"/>
      <c r="F1625" s="2"/>
      <c r="G1625" s="1"/>
      <c r="H1625" s="2"/>
      <c r="I1625" s="2"/>
      <c r="J1625" s="2"/>
      <c r="K1625" s="1"/>
      <c r="M1625" s="1"/>
      <c r="N1625" s="9"/>
    </row>
    <row r="1626" spans="1:14" s="57" customFormat="1" x14ac:dyDescent="0.2">
      <c r="A1626" s="7"/>
      <c r="B1626" s="18"/>
      <c r="C1626" s="1"/>
      <c r="D1626" s="2"/>
      <c r="E1626" s="2"/>
      <c r="F1626" s="2"/>
      <c r="G1626" s="1"/>
      <c r="H1626" s="2"/>
      <c r="I1626" s="2"/>
      <c r="J1626" s="2"/>
      <c r="K1626" s="1"/>
      <c r="M1626" s="1"/>
      <c r="N1626" s="9"/>
    </row>
  </sheetData>
  <autoFilter ref="A15:X1197">
    <filterColumn colId="14" showButton="0"/>
  </autoFilter>
  <mergeCells count="29">
    <mergeCell ref="A1201:B1201"/>
    <mergeCell ref="A1202:B1202"/>
    <mergeCell ref="O15:P15"/>
    <mergeCell ref="N1192:Q1192"/>
    <mergeCell ref="A26:A261"/>
    <mergeCell ref="A262:A329"/>
    <mergeCell ref="A330:A366"/>
    <mergeCell ref="A367:A413"/>
    <mergeCell ref="A431:A501"/>
    <mergeCell ref="A502:A548"/>
    <mergeCell ref="A601:A846"/>
    <mergeCell ref="A1200:B1200"/>
    <mergeCell ref="A1151:A1197"/>
    <mergeCell ref="A1111:A1150"/>
    <mergeCell ref="A1035:A1087"/>
    <mergeCell ref="A1088:A1110"/>
    <mergeCell ref="A956:A1034"/>
    <mergeCell ref="A16:A25"/>
    <mergeCell ref="K12:K13"/>
    <mergeCell ref="F13:I13"/>
    <mergeCell ref="A9:M9"/>
    <mergeCell ref="A10:M10"/>
    <mergeCell ref="A549:A600"/>
    <mergeCell ref="L11:M11"/>
    <mergeCell ref="A12:A13"/>
    <mergeCell ref="B12:B13"/>
    <mergeCell ref="C12:C13"/>
    <mergeCell ref="D12:J12"/>
    <mergeCell ref="A847:A955"/>
  </mergeCells>
  <pageMargins left="0.78740157480314965" right="0.78740157480314965" top="1.1811023622047245" bottom="0.39370078740157483" header="0.51181102362204722" footer="0.31496062992125984"/>
  <pageSetup paperSize="9" fitToHeight="0" orientation="landscape" r:id="rId1"/>
  <headerFooter differentFirst="1" alignWithMargins="0">
    <oddHeader>&amp;C&amp;"Times New Roman,обычный"&amp;P</oddHeader>
  </headerFooter>
  <rowBreaks count="90" manualBreakCount="90">
    <brk id="164" max="12" man="1"/>
    <brk id="174" max="12" man="1"/>
    <brk id="185" max="12" man="1"/>
    <brk id="195" max="12" man="1"/>
    <brk id="205" max="12" man="1"/>
    <brk id="216" max="12" man="1"/>
    <brk id="232" max="12" man="1"/>
    <brk id="245" max="12" man="1"/>
    <brk id="256" max="12" man="1"/>
    <brk id="265" max="12" man="1"/>
    <brk id="278" max="12" man="1"/>
    <brk id="291" max="12" man="1"/>
    <brk id="305" max="12" man="1"/>
    <brk id="318" max="12" man="1"/>
    <brk id="331" max="12" man="1"/>
    <brk id="343" max="12" man="1"/>
    <brk id="354" max="12" man="1"/>
    <brk id="365" max="12" man="1"/>
    <brk id="399" max="12" man="1"/>
    <brk id="409" max="12" man="1"/>
    <brk id="428" max="12" man="1"/>
    <brk id="439" max="12" man="1"/>
    <brk id="449" max="12" man="1"/>
    <brk id="459" max="12" man="1"/>
    <brk id="470" max="12" man="1"/>
    <brk id="488" max="12" man="1"/>
    <brk id="499" max="12" man="1"/>
    <brk id="510" max="12" man="1"/>
    <brk id="521" max="12" man="1"/>
    <brk id="535" max="12" man="1"/>
    <brk id="546" max="12" man="1"/>
    <brk id="558" max="12" man="1"/>
    <brk id="564" max="12" man="1"/>
    <brk id="569" max="12" man="1"/>
    <brk id="576" max="12" man="1"/>
    <brk id="587" max="12" man="1"/>
    <brk id="612" max="12" man="1"/>
    <brk id="625" max="12" man="1"/>
    <brk id="633" max="12" man="1"/>
    <brk id="643" max="12" man="1"/>
    <brk id="653" max="12" man="1"/>
    <brk id="667" max="12" man="1"/>
    <brk id="681" max="12" man="1"/>
    <brk id="687" max="12" man="1"/>
    <brk id="694" max="12" man="1"/>
    <brk id="704" max="12" man="1"/>
    <brk id="725" max="12" man="1"/>
    <brk id="735" max="12" man="1"/>
    <brk id="743" max="12" man="1"/>
    <brk id="753" max="12" man="1"/>
    <brk id="763" max="12" man="1"/>
    <brk id="782" max="12" man="1"/>
    <brk id="790" max="12" man="1"/>
    <brk id="800" max="12" man="1"/>
    <brk id="808" max="12" man="1"/>
    <brk id="812" max="12" man="1"/>
    <brk id="822" max="12" man="1"/>
    <brk id="831" max="12" man="1"/>
    <brk id="840" max="12" man="1"/>
    <brk id="852" max="12" man="1"/>
    <brk id="877" max="12" man="1"/>
    <brk id="885" max="12" man="1"/>
    <brk id="892" max="12" man="1"/>
    <brk id="902" max="12" man="1"/>
    <brk id="917" max="12" man="1"/>
    <brk id="928" max="12" man="1"/>
    <brk id="939" max="12" man="1"/>
    <brk id="949" max="12" man="1"/>
    <brk id="957" max="12" man="1"/>
    <brk id="969" max="12" man="1"/>
    <brk id="982" max="12" man="1"/>
    <brk id="991" max="12" man="1"/>
    <brk id="998" max="12" man="1"/>
    <brk id="1023" max="12" man="1"/>
    <brk id="1032" max="12" man="1"/>
    <brk id="1044" max="12" man="1"/>
    <brk id="1058" max="12" man="1"/>
    <brk id="1069" max="12" man="1"/>
    <brk id="1075" max="12" man="1"/>
    <brk id="1087" max="12" man="1"/>
    <brk id="1099" max="12" man="1"/>
    <brk id="1113" max="12" man="1"/>
    <brk id="1125" max="12" man="1"/>
    <brk id="1136" max="12" man="1"/>
    <brk id="1148" max="12" man="1"/>
    <brk id="1160" max="12" man="1"/>
    <brk id="1172" max="12" man="1"/>
    <brk id="1178" max="12" man="1"/>
    <brk id="1187" max="12" man="1"/>
    <brk id="1192"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(3)</vt:lpstr>
      <vt:lpstr>'по новой классификации (3)'!Заголовки_для_печати</vt:lpstr>
      <vt:lpstr>'по новой классификации (3)'!Область_печати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Гузий НН.</cp:lastModifiedBy>
  <cp:lastPrinted>2025-04-25T08:51:42Z</cp:lastPrinted>
  <dcterms:created xsi:type="dcterms:W3CDTF">2008-10-22T15:37:46Z</dcterms:created>
  <dcterms:modified xsi:type="dcterms:W3CDTF">2025-06-30T12:30:46Z</dcterms:modified>
</cp:coreProperties>
</file>